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ice" sheetId="1" state="visible" r:id="rId3"/>
    <sheet name="KPI" sheetId="2" state="visible" r:id="rId4"/>
    <sheet name="Suivi dossiers" sheetId="3" state="visible" r:id="rId5"/>
    <sheet name="Plan d'action" sheetId="4" state="visible" r:id="rId6"/>
    <sheet name="Listes" sheetId="5" state="hidden" r:id="rId7"/>
  </sheets>
  <definedNames>
    <definedName function="false" hidden="false" localSheetId="3" name="_xlnm.Print_Titles" vbProcedure="false">'Plan d''action'!$1:$4</definedName>
    <definedName function="false" hidden="false" localSheetId="2" name="_xlnm.Print_Titles" vbProcedure="false">'Suivi dossiers'!$1:$4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<sst xmlns="http://schemas.openxmlformats.org/spreadsheetml/2006/main" count="139" uniqueCount="127">
  <si>
    <t xml:space="preserve">TABLEAU DE BORD RENOUVELLEMENTS — IZYPAPER</t>
  </si>
  <si>
    <t xml:space="preserve">Pilotage des renouvellements de titres — alertes J-90 / J-60 / J-30 / J-0</t>
  </si>
  <si>
    <t xml:space="preserve">1. PRINCIPE</t>
  </si>
  <si>
    <t xml:space="preserve">Ce tableau de bord automatise le suivi des échéances de titres de séjour valant autorisation de travail. Il déclenche des alertes graduées à 90, 60 et 30 jours avant l'expiration, conformément aux recommandations de l'instruction NOR INTV2300284J du 1er février 2024 (rénovation des modalités de pilotage de la délivrance des titres).</t>
  </si>
  <si>
    <t xml:space="preserve">2. LOGIQUE DES ALERTES</t>
  </si>
  <si>
    <t xml:space="preserve">• J-90 (jaune) : démarrage du dossier. Anticipation de la prise de rendez-vous, constitution du dossier, vérification des seuils Passeport Talent.</t>
  </si>
  <si>
    <t xml:space="preserve">• J-60 (orange) : dépôt obligatoire de la demande de renouvellement (art. R. 431-5 du CESEDA — délai limite : 2 mois avant expiration).</t>
  </si>
  <si>
    <t xml:space="preserve">• J-30 (rouge) : situation critique. Récépissé exigé pour maintenir le droit au travail.</t>
  </si>
  <si>
    <t xml:space="preserve">• J-0 et plus (rouge vif) : titre expiré. Le salarié ne peut plus être maintenu en poste — Article L. 8251-1 du Code du travail. Risque immédiat de sanction (Art. L. 8253-1).</t>
  </si>
  <si>
    <t xml:space="preserve">3. CADRE JURIDIQUE DU RENOUVELLEMENT</t>
  </si>
  <si>
    <t xml:space="preserve">• Article R. 431-5 du CESEDA — Demande de renouvellement à déposer dans les deux mois précédant l'expiration du titre, exclusivement par téléservice ANEF (administration-etrangers-en-france.interieur.gouv.fr).</t>
  </si>
  <si>
    <t xml:space="preserve">• Article R. 431-12 du CESEDA — Délivrance du récépissé électronique à compter du dépôt complet de la demande. Le récépissé autorise le travail si le titre précédent y autorisait.</t>
  </si>
  <si>
    <t xml:space="preserve">• Article L. 8251-1 du Code du travail — Interdiction d'emploi d'un étranger sans titre l'autorisant à exercer une activité salariée en France.</t>
  </si>
  <si>
    <t xml:space="preserve">• Article L. 8253-1 du Code du travail — Amende administrative jusqu'à 5 000 fois le minimum garanti par travailleur concerné, portée à 25 000 fois en cas de réitération.</t>
  </si>
  <si>
    <t xml:space="preserve">• Loi du 26 janvier 2024 — Renforcement des sanctions administratives et création de l'AES Travail métiers en tension (Art. L. 435-4 CESEDA).</t>
  </si>
  <si>
    <t xml:space="preserve">4. MODE D'EMPLOI</t>
  </si>
  <si>
    <t xml:space="preserve">• Saisir une ligne par dossier dans l'onglet « Suivi dossiers » : identité, titre actuel, dates clés du renouvellement.</t>
  </si>
  <si>
    <t xml:space="preserve">• Le statut, les jours restants et la priorité se calculent automatiquement.</t>
  </si>
  <si>
    <t xml:space="preserve">• L'onglet « KPI » synthétise l'état global de l'effectif (à imprimer pour le COMEX).</t>
  </si>
  <si>
    <t xml:space="preserve">• L'onglet « Plan d'action » trie automatiquement les dossiers par criticité décroissante.</t>
  </si>
  <si>
    <t xml:space="preserve">© Izypaper 2026 — contact@izypaper.com</t>
  </si>
  <si>
    <t xml:space="preserve">INDICATEURS CLÉS — VUE DE PILOTAGE</t>
  </si>
  <si>
    <t xml:space="preserve">DOSSIERS TOTAL</t>
  </si>
  <si>
    <t xml:space="preserve">DOSSIERS OK (&gt; 90 j)</t>
  </si>
  <si>
    <t xml:space="preserve">À LANCER (J-90 à J-60)</t>
  </si>
  <si>
    <t xml:space="preserve">URGENT (J-60 à J-30)</t>
  </si>
  <si>
    <t xml:space="preserve">CRITIQUE (J-30 à J-0)</t>
  </si>
  <si>
    <t xml:space="preserve">EXPIRÉS</t>
  </si>
  <si>
    <t xml:space="preserve">LÉGENDE DES SEUILS</t>
  </si>
  <si>
    <t xml:space="preserve">🟢 OK</t>
  </si>
  <si>
    <t xml:space="preserve">Plus de 90 jours avant expiration — vigilance ordinaire.</t>
  </si>
  <si>
    <t xml:space="preserve">🟡 À LANCER</t>
  </si>
  <si>
    <t xml:space="preserve">J-90 à J-60 — préparer le dossier, mobiliser le salarié.</t>
  </si>
  <si>
    <t xml:space="preserve">🟠 URGENT</t>
  </si>
  <si>
    <t xml:space="preserve">J-60 à J-30 — DÉPOSER LA DEMANDE (R. 431-5 CESEDA).</t>
  </si>
  <si>
    <t xml:space="preserve">🔴 CRITIQUE</t>
  </si>
  <si>
    <t xml:space="preserve">J-30 à J-0 — récépissé obligatoire pour maintenir l'emploi.</t>
  </si>
  <si>
    <t xml:space="preserve">⛔ EXPIRÉ</t>
  </si>
  <si>
    <t xml:space="preserve">Maintien interdit (L. 8251-1). Sanction L. 8253-1 encourue.</t>
  </si>
  <si>
    <t xml:space="preserve">SUIVI DES RENOUVELLEMENTS — DOSSIERS EN COURS</t>
  </si>
  <si>
    <t xml:space="preserve">Date du jour calculée : </t>
  </si>
  <si>
    <t xml:space="preserve">N°</t>
  </si>
  <si>
    <t xml:space="preserve">Nom</t>
  </si>
  <si>
    <t xml:space="preserve">Prénom</t>
  </si>
  <si>
    <t xml:space="preserve">Service / site</t>
  </si>
  <si>
    <t xml:space="preserve">Nationalité</t>
  </si>
  <si>
    <t xml:space="preserve">Titre actuel</t>
  </si>
  <si>
    <t xml:space="preserve">N° du titre</t>
  </si>
  <si>
    <t xml:space="preserve">Expire le</t>
  </si>
  <si>
    <t xml:space="preserve">Jours restants</t>
  </si>
  <si>
    <t xml:space="preserve">Statut</t>
  </si>
  <si>
    <t xml:space="preserve">Priorité</t>
  </si>
  <si>
    <t xml:space="preserve">Date saisine ANEF</t>
  </si>
  <si>
    <t xml:space="preserve">Date récépissé</t>
  </si>
  <si>
    <t xml:space="preserve">Date convocation préf.</t>
  </si>
  <si>
    <t xml:space="preserve">Date nouveau titre</t>
  </si>
  <si>
    <t xml:space="preserve">Référent RH</t>
  </si>
  <si>
    <t xml:space="preserve">Action recommandée</t>
  </si>
  <si>
    <t xml:space="preserve">Notes</t>
  </si>
  <si>
    <t xml:space="preserve">NDIAYE</t>
  </si>
  <si>
    <t xml:space="preserve">Awa Marie</t>
  </si>
  <si>
    <t xml:space="preserve">R&amp;D - Paris</t>
  </si>
  <si>
    <t xml:space="preserve">Sénégalaise</t>
  </si>
  <si>
    <t xml:space="preserve">Passeport Talent — Salarié qualifié</t>
  </si>
  <si>
    <t xml:space="preserve">FR2024001</t>
  </si>
  <si>
    <t xml:space="preserve">2026-08-15</t>
  </si>
  <si>
    <t xml:space="preserve">L. Dupont</t>
  </si>
  <si>
    <t xml:space="preserve">Profil clé R&amp;D</t>
  </si>
  <si>
    <t xml:space="preserve">SILVA</t>
  </si>
  <si>
    <t xml:space="preserve">João</t>
  </si>
  <si>
    <t xml:space="preserve">BTP - Lyon</t>
  </si>
  <si>
    <t xml:space="preserve">Brésilienne</t>
  </si>
  <si>
    <t xml:space="preserve">Salarié L. 421-1</t>
  </si>
  <si>
    <t xml:space="preserve">FR2024002</t>
  </si>
  <si>
    <t xml:space="preserve">2026-06-30</t>
  </si>
  <si>
    <t xml:space="preserve">2026-05-02</t>
  </si>
  <si>
    <t xml:space="preserve">2026-06-15</t>
  </si>
  <si>
    <t xml:space="preserve">M. Bernard</t>
  </si>
  <si>
    <t xml:space="preserve">RDV préf. confirmé</t>
  </si>
  <si>
    <t xml:space="preserve">OKONKWO</t>
  </si>
  <si>
    <t xml:space="preserve">Chinedu</t>
  </si>
  <si>
    <t xml:space="preserve">Restauration</t>
  </si>
  <si>
    <t xml:space="preserve">Nigériane</t>
  </si>
  <si>
    <t xml:space="preserve">AES Travail (L. 435-4)</t>
  </si>
  <si>
    <t xml:space="preserve">FR2025003</t>
  </si>
  <si>
    <t xml:space="preserve">2026-05-29</t>
  </si>
  <si>
    <t xml:space="preserve">S. Leroy</t>
  </si>
  <si>
    <t xml:space="preserve">1er renouvellement</t>
  </si>
  <si>
    <t xml:space="preserve">WANG</t>
  </si>
  <si>
    <t xml:space="preserve">Mei</t>
  </si>
  <si>
    <t xml:space="preserve">Tech - Paris</t>
  </si>
  <si>
    <t xml:space="preserve">Chinoise</t>
  </si>
  <si>
    <t xml:space="preserve">FR2023004</t>
  </si>
  <si>
    <t xml:space="preserve">2027-03-10</t>
  </si>
  <si>
    <t xml:space="preserve">Multi-annuel 4 ans</t>
  </si>
  <si>
    <t xml:space="preserve">KAMARA</t>
  </si>
  <si>
    <t xml:space="preserve">Ibrahim</t>
  </si>
  <si>
    <t xml:space="preserve">BTP - Marseille</t>
  </si>
  <si>
    <t xml:space="preserve">Guinéenne</t>
  </si>
  <si>
    <t xml:space="preserve">FR2024005</t>
  </si>
  <si>
    <t xml:space="preserve">2026-05-20</t>
  </si>
  <si>
    <t xml:space="preserve">URGENT - relancer</t>
  </si>
  <si>
    <t xml:space="preserve">PLAN D'ACTION — TRIÉ PAR CRITICITÉ</t>
  </si>
  <si>
    <t xml:space="preserve">Lecture descendante — du plus critique au plus serein. Les dossiers sans expiration renseignée n'apparaissent pas.</t>
  </si>
  <si>
    <t xml:space="preserve">Salarié</t>
  </si>
  <si>
    <t xml:space="preserve">Titre</t>
  </si>
  <si>
    <t xml:space="preserve">Référentiels</t>
  </si>
  <si>
    <t xml:space="preserve">Passeport Talent — Salarié en mission</t>
  </si>
  <si>
    <t xml:space="preserve">Passeport Talent — Carte bleue européenne</t>
  </si>
  <si>
    <t xml:space="preserve">Passeport Talent — Chercheur</t>
  </si>
  <si>
    <t xml:space="preserve">Passeport Talent — Création d'entreprise</t>
  </si>
  <si>
    <t xml:space="preserve">Passeport Talent — Investisseur</t>
  </si>
  <si>
    <t xml:space="preserve">Passeport Talent — Profession artistique</t>
  </si>
  <si>
    <t xml:space="preserve">Passeport Talent — Renommée</t>
  </si>
  <si>
    <t xml:space="preserve">Travailleur temporaire L. 421-2</t>
  </si>
  <si>
    <t xml:space="preserve">Saisonnier L. 421-34</t>
  </si>
  <si>
    <t xml:space="preserve">ICT (détaché) L. 421-26</t>
  </si>
  <si>
    <t xml:space="preserve">Stagiaire L. 422-7</t>
  </si>
  <si>
    <t xml:space="preserve">Étudiant L. 422-1</t>
  </si>
  <si>
    <t xml:space="preserve">APS L. 422-10</t>
  </si>
  <si>
    <t xml:space="preserve">VPF L. 423-1</t>
  </si>
  <si>
    <t xml:space="preserve">Conjoint de Français L. 423-1</t>
  </si>
  <si>
    <t xml:space="preserve">10 ans Résident L. 426-17</t>
  </si>
  <si>
    <t xml:space="preserve">Réfugié L. 424-1</t>
  </si>
  <si>
    <t xml:space="preserve">AES VPF (L. 435-1)</t>
  </si>
  <si>
    <t xml:space="preserve">Récépissé première demande</t>
  </si>
  <si>
    <t xml:space="preserve">Récépissé renouvellement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</si>
</sst>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mm/dd/yy"/>
    <numFmt numFmtId="167" formatCode="dd/mm/yyyy"/>
    <numFmt numFmtId="168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Times New Roman"/>
      <family val="0"/>
      <charset val="1"/>
    </font>
    <font>
      <i val="true"/>
      <sz val="11"/>
      <color rgb="FF0E0A6E"/>
      <name val="Times New Roman"/>
      <family val="0"/>
      <charset val="1"/>
    </font>
    <font>
      <b val="true"/>
      <sz val="12"/>
      <color rgb="FF0E0A6E"/>
      <name val="Times New Roman"/>
      <family val="0"/>
      <charset val="1"/>
    </font>
    <font>
      <sz val="11"/>
      <name val="Times New Roman"/>
      <family val="0"/>
      <charset val="1"/>
    </font>
    <font>
      <i val="true"/>
      <sz val="9"/>
      <color rgb="FF808080"/>
      <name val="Times New Roman"/>
      <family val="0"/>
      <charset val="1"/>
    </font>
    <font>
      <b val="true"/>
      <sz val="16"/>
      <color rgb="FFFFFFFF"/>
      <name val="Times New Roman"/>
      <family val="0"/>
      <charset val="1"/>
    </font>
    <font>
      <i val="true"/>
      <sz val="10"/>
      <color rgb="FF606060"/>
      <name val="Times New Roman"/>
      <family val="0"/>
      <charset val="1"/>
    </font>
    <font>
      <b val="true"/>
      <sz val="12"/>
      <color rgb="FFFFFFFF"/>
      <name val="Times New Roman"/>
      <family val="0"/>
      <charset val="1"/>
    </font>
    <font>
      <b val="true"/>
      <sz val="22"/>
      <color rgb="FF0E0A6E"/>
      <name val="Times New Roman"/>
      <family val="0"/>
      <charset val="1"/>
    </font>
    <font>
      <b val="true"/>
      <sz val="22"/>
      <color rgb="FF0F5132"/>
      <name val="Times New Roman"/>
      <family val="0"/>
      <charset val="1"/>
    </font>
    <font>
      <b val="true"/>
      <sz val="22"/>
      <color rgb="FFB7791F"/>
      <name val="Times New Roman"/>
      <family val="0"/>
      <charset val="1"/>
    </font>
    <font>
      <b val="true"/>
      <sz val="22"/>
      <color rgb="FFC2410B"/>
      <name val="Times New Roman"/>
      <family val="0"/>
      <charset val="1"/>
    </font>
    <font>
      <b val="true"/>
      <sz val="22"/>
      <color rgb="FF9B1C1C"/>
      <name val="Times New Roman"/>
      <family val="0"/>
      <charset val="1"/>
    </font>
    <font>
      <b val="true"/>
      <sz val="11"/>
      <name val="Times New Roman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4"/>
      <color rgb="FFFFFFFF"/>
      <name val="Times New Roman"/>
      <family val="0"/>
      <charset val="1"/>
    </font>
    <font>
      <i val="true"/>
      <sz val="10"/>
      <name val="Times New Roman"/>
      <family val="0"/>
      <charset val="1"/>
    </font>
    <font>
      <b val="true"/>
      <sz val="10"/>
      <color rgb="FFFFFFFF"/>
      <name val="Times New Roman"/>
      <family val="0"/>
      <charset val="1"/>
    </font>
    <font>
      <sz val="10"/>
      <name val="Times New Roman"/>
      <family val="0"/>
      <charset val="1"/>
    </font>
    <font>
      <b val="true"/>
      <sz val="10"/>
      <name val="Times New Roman"/>
      <family val="0"/>
      <charset val="1"/>
    </font>
    <font>
      <b val="true"/>
      <sz val="14"/>
      <color rgb="FF0E0A6E"/>
      <name val="Times New Roman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E0A6E"/>
        <bgColor rgb="FF0F5132"/>
      </patternFill>
    </fill>
    <fill>
      <patternFill patternType="solid">
        <fgColor rgb="FFC9A55C"/>
        <bgColor rgb="FFD8AAA9"/>
      </patternFill>
    </fill>
    <fill>
      <patternFill patternType="solid">
        <fgColor rgb="FFFFFFFF"/>
        <bgColor rgb="FFFFF3CD"/>
      </patternFill>
    </fill>
    <fill>
      <patternFill patternType="solid">
        <fgColor rgb="FF0F5132"/>
        <bgColor rgb="FF0E0A6E"/>
      </patternFill>
    </fill>
    <fill>
      <patternFill patternType="solid">
        <fgColor rgb="FFB7791F"/>
        <bgColor rgb="FFCC7C3A"/>
      </patternFill>
    </fill>
    <fill>
      <patternFill patternType="solid">
        <fgColor rgb="FFC2410B"/>
        <bgColor rgb="FFC0504D"/>
      </patternFill>
    </fill>
    <fill>
      <patternFill patternType="solid">
        <fgColor rgb="FF9B1C1C"/>
        <bgColor rgb="FF80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/>
      <top style="thin">
        <color rgb="FFB0B0B0"/>
      </top>
      <bottom/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 diagonalUp="false" diagonalDown="false">
      <left style="thin">
        <color rgb="FFB0B0B0"/>
      </left>
      <right/>
      <top style="thin">
        <color rgb="FFB0B0B0"/>
      </top>
      <bottom style="thin">
        <color rgb="FFB0B0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2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Times New Roman"/>
        <charset val="1"/>
        <family val="0"/>
        <b val="1"/>
        <color rgb="FFFFFFFF"/>
        <sz val="10"/>
      </font>
      <fill>
        <patternFill>
          <bgColor rgb="FF9B1C1C"/>
        </patternFill>
      </fill>
    </dxf>
    <dxf>
      <font>
        <name val="Times New Roman"/>
        <charset val="1"/>
        <family val="0"/>
        <b val="1"/>
        <color rgb="FF9B1C1C"/>
        <sz val="10"/>
      </font>
      <fill>
        <patternFill>
          <bgColor rgb="FFF8D7DA"/>
        </patternFill>
      </fill>
    </dxf>
    <dxf>
      <font>
        <name val="Times New Roman"/>
        <charset val="1"/>
        <family val="0"/>
        <b val="1"/>
        <color rgb="FF8A4500"/>
        <sz val="10"/>
      </font>
      <fill>
        <patternFill>
          <bgColor rgb="FFFFE5B4"/>
        </patternFill>
      </fill>
    </dxf>
    <dxf>
      <font>
        <name val="Times New Roman"/>
        <charset val="1"/>
        <family val="0"/>
        <b val="1"/>
        <color rgb="FF8A6D00"/>
        <sz val="10"/>
      </font>
      <fill>
        <patternFill>
          <bgColor rgb="FFFFF3CD"/>
        </patternFill>
      </fill>
    </dxf>
    <dxf>
      <font>
        <name val="Times New Roman"/>
        <charset val="1"/>
        <family val="0"/>
        <b val="1"/>
        <color rgb="FF0F5132"/>
        <sz val="10"/>
      </font>
      <fill>
        <patternFill>
          <bgColor rgb="FFD4EDDA"/>
        </patternFill>
      </fill>
    </dxf>
  </dxfs>
  <colors>
    <indexedColors>
      <rgbColor rgb="FF000000"/>
      <rgbColor rgb="FFFFFFFF"/>
      <rgbColor rgb="FFC2410B"/>
      <rgbColor rgb="FF00FF00"/>
      <rgbColor rgb="FF4F2BFF"/>
      <rgbColor rgb="FFFFFF00"/>
      <rgbColor rgb="FFFF00FF"/>
      <rgbColor rgb="FF00FFFF"/>
      <rgbColor rgb="FF9B1C1C"/>
      <rgbColor rgb="FF008000"/>
      <rgbColor rgb="FF000080"/>
      <rgbColor rgb="FF8A6D00"/>
      <rgbColor rgb="FF800080"/>
      <rgbColor rgb="FF4f2bff"/>
      <rgbColor rgb="FFB9AFC9"/>
      <rgbColor rgb="FF808080"/>
      <rgbColor rgb="FF809B49"/>
      <rgbColor rgb="FF9F423F"/>
      <rgbColor rgb="FFFFF3CD"/>
      <rgbColor rgb="FFC5D6AC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4F2BFF"/>
      <rgbColor rgb="FF00CCFF"/>
      <rgbColor rgb="FFCCFFFF"/>
      <rgbColor rgb="FFD4EDDA"/>
      <rgbColor rgb="FFF8D7DA"/>
      <rgbColor rgb="FFAABAD7"/>
      <rgbColor rgb="FFD8AAA9"/>
      <rgbColor rgb="FFCC99FF"/>
      <rgbColor rgb="FFFFE5B4"/>
      <rgbColor rgb="FF416A9C"/>
      <rgbColor rgb="FF4BACC6"/>
      <rgbColor rgb="FF9BBB59"/>
      <rgbColor rgb="FFC9A55C"/>
      <rgbColor rgb="FFF79646"/>
      <rgbColor rgb="FFB7791F"/>
      <rgbColor rgb="FF8064A2"/>
      <rgbColor rgb="FFB0B0B0"/>
      <rgbColor rgb="FF0E0A6E"/>
      <rgbColor rgb="FF3E8EA4"/>
      <rgbColor rgb="FF0F5132"/>
      <rgbColor rgb="FF333300"/>
      <rgbColor rgb="FF8A4500"/>
      <rgbColor rgb="FFC0504D"/>
      <rgbColor rgb="FF6A5286"/>
      <rgbColor rgb="FF60606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Répartition de l'effectif par statut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16a9c"/>
              </a:solidFill>
              <a:ln w="0">
                <a:noFill/>
              </a:ln>
            </c:spPr>
          </c:dPt>
          <c:dPt>
            <c:idx val="1"/>
            <c:spPr>
              <a:solidFill>
                <a:srgbClr val="9f423f"/>
              </a:solidFill>
              <a:ln w="0">
                <a:noFill/>
              </a:ln>
            </c:spPr>
          </c:dPt>
          <c:dPt>
            <c:idx val="2"/>
            <c:spPr>
              <a:solidFill>
                <a:srgbClr val="809b4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6a5286"/>
              </a:solidFill>
              <a:ln w="0">
                <a:noFill/>
              </a:ln>
            </c:spPr>
          </c:dPt>
          <c:dPt>
            <c:idx val="4"/>
            <c:spPr>
              <a:solidFill>
                <a:srgbClr val="3e8ea4"/>
              </a:solidFill>
              <a:ln w="0">
                <a:noFill/>
              </a:ln>
            </c:spPr>
          </c:dPt>
          <c:dPt>
            <c:idx val="5"/>
            <c:spPr>
              <a:solidFill>
                <a:srgbClr val="cc7c3a"/>
              </a:solidFill>
              <a:ln w="0">
                <a:noFill/>
              </a:ln>
            </c:spPr>
          </c:dPt>
          <c:dPt>
            <c:idx val="6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7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8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9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10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11"/>
            <c:spPr>
              <a:solidFill>
                <a:srgbClr val="f79646"/>
              </a:solidFill>
              <a:ln w="0">
                <a:noFill/>
              </a:ln>
            </c:spPr>
          </c:dPt>
          <c:dPt>
            <c:idx val="12"/>
            <c:spPr>
              <a:solidFill>
                <a:srgbClr val="aabad7"/>
              </a:solidFill>
              <a:ln w="0">
                <a:noFill/>
              </a:ln>
            </c:spPr>
          </c:dPt>
          <c:dPt>
            <c:idx val="13"/>
            <c:spPr>
              <a:solidFill>
                <a:srgbClr val="d8aaa9"/>
              </a:solidFill>
              <a:ln w="0">
                <a:noFill/>
              </a:ln>
            </c:spPr>
          </c:dPt>
          <c:dPt>
            <c:idx val="14"/>
            <c:spPr>
              <a:solidFill>
                <a:srgbClr val="c5d6ac"/>
              </a:solidFill>
              <a:ln w="0">
                <a:noFill/>
              </a:ln>
            </c:spPr>
          </c:dPt>
          <c:dPt>
            <c:idx val="15"/>
            <c:spPr>
              <a:solidFill>
                <a:srgbClr val="b9afc9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val>
            <c:numRef>
              <c:f>KPI!$F$5:$F$20</c:f>
              <c:numCache>
                <c:formatCode>General</c:formatCode>
                <c:ptCount val="16"/>
                <c:pt idx="0">
                  <c:v>5</c:v>
                </c:pt>
                <c:pt idx="3">
                  <c:v>5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1</xdr:row>
      <xdr:rowOff>0</xdr:rowOff>
    </xdr:from>
    <xdr:to>
      <xdr:col>18</xdr:col>
      <xdr:colOff>147600</xdr:colOff>
      <xdr:row>13</xdr:row>
      <xdr:rowOff>229680</xdr:rowOff>
    </xdr:to>
    <xdr:graphicFrame>
      <xdr:nvGraphicFramePr>
        <xdr:cNvPr id="0" name="Chart 1"/>
        <xdr:cNvGraphicFramePr/>
      </xdr:nvGraphicFramePr>
      <xdr:xfrm>
        <a:off x="7800840" y="190440"/>
        <a:ext cx="503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0a6e"/>
      </a:dk2>
      <a:lt2>
        <a:srgbClr val="eeece1"/>
      </a:lt2>
      <a:accent1>
        <a:srgbClr val="4f2bff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4F2B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9" min="2" style="0" width="14"/>
    <col collapsed="false" customWidth="true" hidden="false" outlineLevel="0" max="10" min="10" style="0" width="2"/>
  </cols>
  <sheetData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</row>
    <row r="5" customFormat="false" ht="15" hidden="false" customHeight="false" outlineLevel="0" collapsed="false">
      <c r="B5" s="3"/>
      <c r="C5" s="3"/>
      <c r="D5" s="3"/>
      <c r="E5" s="3"/>
      <c r="F5" s="3"/>
      <c r="G5" s="3"/>
      <c r="H5" s="3"/>
      <c r="I5" s="3"/>
    </row>
    <row r="6" customFormat="false" ht="21.75" hidden="false" customHeight="true" outlineLevel="0" collapsed="false">
      <c r="B6" s="4" t="s">
        <v>2</v>
      </c>
      <c r="C6" s="4"/>
      <c r="D6" s="4"/>
      <c r="E6" s="4"/>
      <c r="F6" s="4"/>
      <c r="G6" s="4"/>
      <c r="H6" s="4"/>
      <c r="I6" s="4"/>
    </row>
    <row r="7" customFormat="false" ht="60" hidden="false" customHeight="true" outlineLevel="0" collapsed="false">
      <c r="B7" s="5" t="s">
        <v>3</v>
      </c>
      <c r="C7" s="5"/>
      <c r="D7" s="5"/>
      <c r="E7" s="5"/>
      <c r="F7" s="5"/>
      <c r="G7" s="5"/>
      <c r="H7" s="5"/>
      <c r="I7" s="5"/>
    </row>
    <row r="8" customFormat="false" ht="15" hidden="false" customHeight="false" outlineLevel="0" collapsed="false">
      <c r="B8" s="3"/>
      <c r="C8" s="3"/>
      <c r="D8" s="3"/>
      <c r="E8" s="3"/>
      <c r="F8" s="3"/>
      <c r="G8" s="3"/>
      <c r="H8" s="3"/>
      <c r="I8" s="3"/>
    </row>
    <row r="9" customFormat="false" ht="21.75" hidden="false" customHeight="true" outlineLevel="0" collapsed="false">
      <c r="B9" s="4" t="s">
        <v>4</v>
      </c>
      <c r="C9" s="4"/>
      <c r="D9" s="4"/>
      <c r="E9" s="4"/>
      <c r="F9" s="4"/>
      <c r="G9" s="4"/>
      <c r="H9" s="4"/>
      <c r="I9" s="4"/>
    </row>
    <row r="10" customFormat="false" ht="31.5" hidden="false" customHeight="true" outlineLevel="0" collapsed="false">
      <c r="B10" s="6" t="s">
        <v>5</v>
      </c>
      <c r="C10" s="6"/>
      <c r="D10" s="6"/>
      <c r="E10" s="6"/>
      <c r="F10" s="6"/>
      <c r="G10" s="6"/>
      <c r="H10" s="6"/>
      <c r="I10" s="6"/>
    </row>
    <row r="11" customFormat="false" ht="31.5" hidden="false" customHeight="true" outlineLevel="0" collapsed="false">
      <c r="B11" s="6" t="s">
        <v>6</v>
      </c>
      <c r="C11" s="6"/>
      <c r="D11" s="6"/>
      <c r="E11" s="6"/>
      <c r="F11" s="6"/>
      <c r="G11" s="6"/>
      <c r="H11" s="6"/>
      <c r="I11" s="6"/>
    </row>
    <row r="12" customFormat="false" ht="31.5" hidden="false" customHeight="true" outlineLevel="0" collapsed="false">
      <c r="B12" s="6" t="s">
        <v>7</v>
      </c>
      <c r="C12" s="6"/>
      <c r="D12" s="6"/>
      <c r="E12" s="6"/>
      <c r="F12" s="6"/>
      <c r="G12" s="6"/>
      <c r="H12" s="6"/>
      <c r="I12" s="6"/>
    </row>
    <row r="13" customFormat="false" ht="31.5" hidden="false" customHeight="true" outlineLevel="0" collapsed="false">
      <c r="B13" s="6" t="s">
        <v>8</v>
      </c>
      <c r="C13" s="6"/>
      <c r="D13" s="6"/>
      <c r="E13" s="6"/>
      <c r="F13" s="6"/>
      <c r="G13" s="6"/>
      <c r="H13" s="6"/>
      <c r="I13" s="6"/>
    </row>
    <row r="14" customFormat="false" ht="15" hidden="false" customHeight="false" outlineLevel="0" collapsed="false">
      <c r="B14" s="3"/>
      <c r="C14" s="3"/>
      <c r="D14" s="3"/>
      <c r="E14" s="3"/>
      <c r="F14" s="3"/>
      <c r="G14" s="3"/>
      <c r="H14" s="3"/>
      <c r="I14" s="3"/>
    </row>
    <row r="15" customFormat="false" ht="21.75" hidden="false" customHeight="true" outlineLevel="0" collapsed="false">
      <c r="B15" s="4" t="s">
        <v>9</v>
      </c>
      <c r="C15" s="4"/>
      <c r="D15" s="4"/>
      <c r="E15" s="4"/>
      <c r="F15" s="4"/>
      <c r="G15" s="4"/>
      <c r="H15" s="4"/>
      <c r="I15" s="4"/>
    </row>
    <row r="16" customFormat="false" ht="31.5" hidden="false" customHeight="true" outlineLevel="0" collapsed="false">
      <c r="B16" s="6" t="s">
        <v>10</v>
      </c>
      <c r="C16" s="6"/>
      <c r="D16" s="6"/>
      <c r="E16" s="6"/>
      <c r="F16" s="6"/>
      <c r="G16" s="6"/>
      <c r="H16" s="6"/>
      <c r="I16" s="6"/>
    </row>
    <row r="17" customFormat="false" ht="31.5" hidden="false" customHeight="true" outlineLevel="0" collapsed="false">
      <c r="B17" s="6" t="s">
        <v>11</v>
      </c>
      <c r="C17" s="6"/>
      <c r="D17" s="6"/>
      <c r="E17" s="6"/>
      <c r="F17" s="6"/>
      <c r="G17" s="6"/>
      <c r="H17" s="6"/>
      <c r="I17" s="6"/>
    </row>
    <row r="18" customFormat="false" ht="31.5" hidden="false" customHeight="true" outlineLevel="0" collapsed="false">
      <c r="B18" s="6" t="s">
        <v>12</v>
      </c>
      <c r="C18" s="6"/>
      <c r="D18" s="6"/>
      <c r="E18" s="6"/>
      <c r="F18" s="6"/>
      <c r="G18" s="6"/>
      <c r="H18" s="6"/>
      <c r="I18" s="6"/>
    </row>
    <row r="19" customFormat="false" ht="31.5" hidden="false" customHeight="true" outlineLevel="0" collapsed="false">
      <c r="B19" s="6" t="s">
        <v>13</v>
      </c>
      <c r="C19" s="6"/>
      <c r="D19" s="6"/>
      <c r="E19" s="6"/>
      <c r="F19" s="6"/>
      <c r="G19" s="6"/>
      <c r="H19" s="6"/>
      <c r="I19" s="6"/>
    </row>
    <row r="20" customFormat="false" ht="31.5" hidden="false" customHeight="true" outlineLevel="0" collapsed="false">
      <c r="B20" s="6" t="s">
        <v>14</v>
      </c>
      <c r="C20" s="6"/>
      <c r="D20" s="6"/>
      <c r="E20" s="6"/>
      <c r="F20" s="6"/>
      <c r="G20" s="6"/>
      <c r="H20" s="6"/>
      <c r="I20" s="6"/>
    </row>
    <row r="21" customFormat="false" ht="15" hidden="false" customHeight="false" outlineLevel="0" collapsed="false">
      <c r="B21" s="3"/>
      <c r="C21" s="3"/>
      <c r="D21" s="3"/>
      <c r="E21" s="3"/>
      <c r="F21" s="3"/>
      <c r="G21" s="3"/>
      <c r="H21" s="3"/>
      <c r="I21" s="3"/>
    </row>
    <row r="22" customFormat="false" ht="21.75" hidden="false" customHeight="true" outlineLevel="0" collapsed="false">
      <c r="B22" s="4" t="s">
        <v>15</v>
      </c>
      <c r="C22" s="4"/>
      <c r="D22" s="4"/>
      <c r="E22" s="4"/>
      <c r="F22" s="4"/>
      <c r="G22" s="4"/>
      <c r="H22" s="4"/>
      <c r="I22" s="4"/>
    </row>
    <row r="23" customFormat="false" ht="31.5" hidden="false" customHeight="true" outlineLevel="0" collapsed="false">
      <c r="B23" s="6" t="s">
        <v>16</v>
      </c>
      <c r="C23" s="6"/>
      <c r="D23" s="6"/>
      <c r="E23" s="6"/>
      <c r="F23" s="6"/>
      <c r="G23" s="6"/>
      <c r="H23" s="6"/>
      <c r="I23" s="6"/>
    </row>
    <row r="24" customFormat="false" ht="31.5" hidden="false" customHeight="true" outlineLevel="0" collapsed="false">
      <c r="B24" s="6" t="s">
        <v>17</v>
      </c>
      <c r="C24" s="6"/>
      <c r="D24" s="6"/>
      <c r="E24" s="6"/>
      <c r="F24" s="6"/>
      <c r="G24" s="6"/>
      <c r="H24" s="6"/>
      <c r="I24" s="6"/>
    </row>
    <row r="25" customFormat="false" ht="31.5" hidden="false" customHeight="true" outlineLevel="0" collapsed="false">
      <c r="B25" s="6" t="s">
        <v>18</v>
      </c>
      <c r="C25" s="6"/>
      <c r="D25" s="6"/>
      <c r="E25" s="6"/>
      <c r="F25" s="6"/>
      <c r="G25" s="6"/>
      <c r="H25" s="6"/>
      <c r="I25" s="6"/>
    </row>
    <row r="26" customFormat="false" ht="31.5" hidden="false" customHeight="true" outlineLevel="0" collapsed="false">
      <c r="B26" s="6" t="s">
        <v>19</v>
      </c>
      <c r="C26" s="6"/>
      <c r="D26" s="6"/>
      <c r="E26" s="6"/>
      <c r="F26" s="6"/>
      <c r="G26" s="6"/>
      <c r="H26" s="6"/>
      <c r="I26" s="6"/>
    </row>
    <row r="28" customFormat="false" ht="15" hidden="false" customHeight="false" outlineLevel="0" collapsed="false">
      <c r="B28" s="7" t="s">
        <v>20</v>
      </c>
      <c r="C28" s="7"/>
      <c r="D28" s="7"/>
      <c r="E28" s="7"/>
      <c r="F28" s="7"/>
      <c r="G28" s="7"/>
      <c r="H28" s="7"/>
      <c r="I28" s="7"/>
    </row>
  </sheetData>
  <mergeCells count="25">
    <mergeCell ref="B2:I2"/>
    <mergeCell ref="B3:I3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6:I26"/>
    <mergeCell ref="B28:I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7" min="6" style="0" width="12"/>
    <col collapsed="false" customWidth="true" hidden="false" outlineLevel="0" max="8" min="8" style="0" width="14"/>
    <col collapsed="false" customWidth="true" hidden="false" outlineLevel="0" max="9" min="9" style="0" width="2"/>
  </cols>
  <sheetData>
    <row r="2" customFormat="false" ht="31.5" hidden="false" customHeight="true" outlineLevel="0" collapsed="false">
      <c r="B2" s="8" t="s">
        <v>21</v>
      </c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B3" s="9" t="str">
        <f aca="true">CONCATENATE("Édité le ", TEXT(TODAY(), "DD/MM/YYYY"))</f>
        <v>Édité le 18/05/2026</v>
      </c>
      <c r="C3" s="9"/>
      <c r="D3" s="9"/>
      <c r="E3" s="9"/>
      <c r="F3" s="9"/>
      <c r="G3" s="9"/>
      <c r="H3" s="9"/>
      <c r="I3" s="9"/>
    </row>
    <row r="5" customFormat="false" ht="21.75" hidden="false" customHeight="true" outlineLevel="0" collapsed="false">
      <c r="B5" s="10" t="s">
        <v>22</v>
      </c>
      <c r="C5" s="10"/>
      <c r="D5" s="10"/>
      <c r="E5" s="10"/>
      <c r="F5" s="11" t="n">
        <f aca="false">SUMPRODUCT(--('Suivi dossiers'!B5:B103&lt;&gt;""))</f>
        <v>5</v>
      </c>
      <c r="G5" s="11"/>
    </row>
    <row r="6" customFormat="false" ht="21.75" hidden="false" customHeight="true" outlineLevel="0" collapsed="false">
      <c r="B6" s="10"/>
      <c r="C6" s="10"/>
      <c r="D6" s="10"/>
      <c r="E6" s="10"/>
      <c r="F6" s="11"/>
      <c r="G6" s="11"/>
    </row>
    <row r="8" customFormat="false" ht="21.75" hidden="false" customHeight="true" outlineLevel="0" collapsed="false">
      <c r="B8" s="12" t="s">
        <v>23</v>
      </c>
      <c r="C8" s="12"/>
      <c r="D8" s="12"/>
      <c r="E8" s="12"/>
      <c r="F8" s="13" t="n">
        <f aca="false">SUMPRODUCT(('Suivi dossiers'!J5:J103="OK")*1)</f>
        <v>5</v>
      </c>
      <c r="G8" s="13"/>
    </row>
    <row r="9" customFormat="false" ht="21.75" hidden="false" customHeight="true" outlineLevel="0" collapsed="false">
      <c r="B9" s="12"/>
      <c r="C9" s="12"/>
      <c r="D9" s="12"/>
      <c r="E9" s="12"/>
      <c r="F9" s="13"/>
      <c r="G9" s="13"/>
    </row>
    <row r="11" customFormat="false" ht="21.75" hidden="false" customHeight="true" outlineLevel="0" collapsed="false">
      <c r="B11" s="14" t="s">
        <v>24</v>
      </c>
      <c r="C11" s="14"/>
      <c r="D11" s="14"/>
      <c r="E11" s="14"/>
      <c r="F11" s="15" t="n">
        <f aca="false">SUMPRODUCT(('Suivi dossiers'!J5:J103="À LANCER")*1)</f>
        <v>0</v>
      </c>
      <c r="G11" s="15"/>
    </row>
    <row r="12" customFormat="false" ht="21.75" hidden="false" customHeight="true" outlineLevel="0" collapsed="false">
      <c r="B12" s="14"/>
      <c r="C12" s="14"/>
      <c r="D12" s="14"/>
      <c r="E12" s="14"/>
      <c r="F12" s="15"/>
      <c r="G12" s="15"/>
    </row>
    <row r="14" customFormat="false" ht="21.75" hidden="false" customHeight="true" outlineLevel="0" collapsed="false">
      <c r="B14" s="16" t="s">
        <v>25</v>
      </c>
      <c r="C14" s="16"/>
      <c r="D14" s="16"/>
      <c r="E14" s="16"/>
      <c r="F14" s="17" t="n">
        <f aca="false">SUMPRODUCT(('Suivi dossiers'!J5:J103="URGENT")*1)</f>
        <v>0</v>
      </c>
      <c r="G14" s="17"/>
    </row>
    <row r="15" customFormat="false" ht="21.75" hidden="false" customHeight="true" outlineLevel="0" collapsed="false">
      <c r="B15" s="16"/>
      <c r="C15" s="16"/>
      <c r="D15" s="16"/>
      <c r="E15" s="16"/>
      <c r="F15" s="17"/>
      <c r="G15" s="17"/>
    </row>
    <row r="17" customFormat="false" ht="21.75" hidden="false" customHeight="true" outlineLevel="0" collapsed="false">
      <c r="B17" s="18" t="s">
        <v>26</v>
      </c>
      <c r="C17" s="18"/>
      <c r="D17" s="18"/>
      <c r="E17" s="18"/>
      <c r="F17" s="19" t="n">
        <f aca="false">SUMPRODUCT(('Suivi dossiers'!J5:J103="CRITIQUE")*1)</f>
        <v>0</v>
      </c>
      <c r="G17" s="19"/>
    </row>
    <row r="18" customFormat="false" ht="21.75" hidden="false" customHeight="true" outlineLevel="0" collapsed="false">
      <c r="B18" s="18"/>
      <c r="C18" s="18"/>
      <c r="D18" s="18"/>
      <c r="E18" s="18"/>
      <c r="F18" s="19"/>
      <c r="G18" s="19"/>
    </row>
    <row r="20" customFormat="false" ht="21.75" hidden="false" customHeight="true" outlineLevel="0" collapsed="false">
      <c r="B20" s="18" t="s">
        <v>27</v>
      </c>
      <c r="C20" s="18"/>
      <c r="D20" s="18"/>
      <c r="E20" s="18"/>
      <c r="F20" s="19" t="n">
        <f aca="false">SUMPRODUCT(('Suivi dossiers'!J5:J103="EXPIRÉ")*1)</f>
        <v>0</v>
      </c>
      <c r="G20" s="19"/>
    </row>
    <row r="21" customFormat="false" ht="21.75" hidden="false" customHeight="true" outlineLevel="0" collapsed="false">
      <c r="B21" s="18"/>
      <c r="C21" s="18"/>
      <c r="D21" s="18"/>
      <c r="E21" s="18"/>
      <c r="F21" s="19"/>
      <c r="G21" s="19"/>
    </row>
    <row r="24" customFormat="false" ht="21.75" hidden="false" customHeight="true" outlineLevel="0" collapsed="false">
      <c r="B24" s="20" t="s">
        <v>28</v>
      </c>
      <c r="C24" s="20"/>
      <c r="D24" s="20"/>
      <c r="E24" s="20"/>
      <c r="F24" s="20"/>
      <c r="G24" s="20"/>
    </row>
    <row r="25" customFormat="false" ht="25.5" hidden="false" customHeight="true" outlineLevel="0" collapsed="false">
      <c r="B25" s="21" t="s">
        <v>29</v>
      </c>
      <c r="C25" s="22" t="s">
        <v>30</v>
      </c>
      <c r="D25" s="22"/>
      <c r="E25" s="22"/>
      <c r="F25" s="22"/>
      <c r="G25" s="22"/>
    </row>
    <row r="26" customFormat="false" ht="25.5" hidden="false" customHeight="true" outlineLevel="0" collapsed="false">
      <c r="B26" s="21" t="s">
        <v>31</v>
      </c>
      <c r="C26" s="22" t="s">
        <v>32</v>
      </c>
      <c r="D26" s="22"/>
      <c r="E26" s="22"/>
      <c r="F26" s="22"/>
      <c r="G26" s="22"/>
    </row>
    <row r="27" customFormat="false" ht="25.5" hidden="false" customHeight="true" outlineLevel="0" collapsed="false">
      <c r="B27" s="21" t="s">
        <v>33</v>
      </c>
      <c r="C27" s="22" t="s">
        <v>34</v>
      </c>
      <c r="D27" s="22"/>
      <c r="E27" s="22"/>
      <c r="F27" s="22"/>
      <c r="G27" s="22"/>
    </row>
    <row r="28" customFormat="false" ht="25.5" hidden="false" customHeight="true" outlineLevel="0" collapsed="false">
      <c r="B28" s="21" t="s">
        <v>35</v>
      </c>
      <c r="C28" s="22" t="s">
        <v>36</v>
      </c>
      <c r="D28" s="22"/>
      <c r="E28" s="22"/>
      <c r="F28" s="22"/>
      <c r="G28" s="22"/>
    </row>
    <row r="29" customFormat="false" ht="25.5" hidden="false" customHeight="true" outlineLevel="0" collapsed="false">
      <c r="B29" s="21" t="s">
        <v>37</v>
      </c>
      <c r="C29" s="22" t="s">
        <v>38</v>
      </c>
      <c r="D29" s="22"/>
      <c r="E29" s="22"/>
      <c r="F29" s="22"/>
      <c r="G29" s="22"/>
    </row>
  </sheetData>
  <mergeCells count="20">
    <mergeCell ref="B2:I2"/>
    <mergeCell ref="B3:I3"/>
    <mergeCell ref="B5:E6"/>
    <mergeCell ref="F5:G6"/>
    <mergeCell ref="B8:E9"/>
    <mergeCell ref="F8:G9"/>
    <mergeCell ref="B11:E12"/>
    <mergeCell ref="F11:G12"/>
    <mergeCell ref="B14:E15"/>
    <mergeCell ref="F14:G15"/>
    <mergeCell ref="B17:E18"/>
    <mergeCell ref="F17:G18"/>
    <mergeCell ref="B20:E21"/>
    <mergeCell ref="F20:G21"/>
    <mergeCell ref="B24:G24"/>
    <mergeCell ref="C25:G25"/>
    <mergeCell ref="C26:G26"/>
    <mergeCell ref="C27:G27"/>
    <mergeCell ref="C28:G28"/>
    <mergeCell ref="C29:G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26"/>
    <col collapsed="false" customWidth="true" hidden="false" outlineLevel="0" max="7" min="7" style="0" width="16"/>
    <col collapsed="false" customWidth="true" hidden="false" outlineLevel="0" max="8" min="8" style="0" width="12"/>
    <col collapsed="false" customWidth="true" hidden="false" outlineLevel="0" max="9" min="9" style="0" width="11"/>
    <col collapsed="false" customWidth="true" hidden="false" outlineLevel="0" max="10" min="10" style="0" width="14"/>
    <col collapsed="false" customWidth="true" hidden="false" outlineLevel="0" max="11" min="11" style="0" width="11"/>
    <col collapsed="false" customWidth="true" hidden="false" outlineLevel="0" max="15" min="12" style="0" width="13"/>
    <col collapsed="false" customWidth="true" hidden="false" outlineLevel="0" max="16" min="16" style="0" width="14"/>
    <col collapsed="false" customWidth="true" hidden="false" outlineLevel="0" max="17" min="17" style="0" width="30"/>
    <col collapsed="false" customWidth="true" hidden="false" outlineLevel="0" max="18" min="18" style="0" width="22"/>
    <col collapsed="false" customWidth="true" hidden="true" outlineLevel="0" max="19" min="19" style="0" width="13"/>
  </cols>
  <sheetData>
    <row r="1" customFormat="false" ht="27.75" hidden="false" customHeight="true" outlineLevel="0" collapsed="false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customFormat="false" ht="15" hidden="false" customHeight="false" outlineLevel="0" collapsed="false">
      <c r="A2" s="24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 t="n">
        <f aca="true">TODAY()</f>
        <v>46160</v>
      </c>
    </row>
    <row r="4" customFormat="false" ht="37.5" hidden="false" customHeight="true" outlineLevel="0" collapsed="false">
      <c r="A4" s="26" t="s">
        <v>41</v>
      </c>
      <c r="B4" s="26" t="s">
        <v>42</v>
      </c>
      <c r="C4" s="26" t="s">
        <v>43</v>
      </c>
      <c r="D4" s="26" t="s">
        <v>44</v>
      </c>
      <c r="E4" s="26" t="s">
        <v>45</v>
      </c>
      <c r="F4" s="26" t="s">
        <v>46</v>
      </c>
      <c r="G4" s="26" t="s">
        <v>47</v>
      </c>
      <c r="H4" s="26" t="s">
        <v>48</v>
      </c>
      <c r="I4" s="26" t="s">
        <v>49</v>
      </c>
      <c r="J4" s="26" t="s">
        <v>50</v>
      </c>
      <c r="K4" s="26" t="s">
        <v>51</v>
      </c>
      <c r="L4" s="26" t="s">
        <v>52</v>
      </c>
      <c r="M4" s="26" t="s">
        <v>53</v>
      </c>
      <c r="N4" s="26" t="s">
        <v>54</v>
      </c>
      <c r="O4" s="26" t="s">
        <v>55</v>
      </c>
      <c r="P4" s="26" t="s">
        <v>56</v>
      </c>
      <c r="Q4" s="26" t="s">
        <v>57</v>
      </c>
      <c r="R4" s="26" t="s">
        <v>58</v>
      </c>
    </row>
    <row r="5" customFormat="false" ht="30" hidden="false" customHeight="true" outlineLevel="0" collapsed="false">
      <c r="A5" s="27" t="n">
        <v>1</v>
      </c>
      <c r="B5" s="28" t="s">
        <v>59</v>
      </c>
      <c r="C5" s="28" t="s">
        <v>60</v>
      </c>
      <c r="D5" s="28" t="s">
        <v>61</v>
      </c>
      <c r="E5" s="28" t="s">
        <v>62</v>
      </c>
      <c r="F5" s="28" t="s">
        <v>63</v>
      </c>
      <c r="G5" s="28" t="s">
        <v>64</v>
      </c>
      <c r="H5" s="29" t="s">
        <v>65</v>
      </c>
      <c r="I5" s="30" t="n">
        <f aca="true">IF(H5="","",H5-TODAY())</f>
        <v>89</v>
      </c>
      <c r="J5" s="31" t="str">
        <f aca="true">IF(H5="","",IF(H5&lt;TODAY(),"EXPIRÉ",IF(H5&lt;TODAY()+30,"CRITIQUE",IF(H5&lt;TODAY()+60,"URGENT",IF(H5&lt;TODAY()+90,"À LANCER","OK")))))</f>
        <v>OK</v>
      </c>
      <c r="K5" s="32" t="n">
        <f aca="true">IF(H5="","",IF(H5&lt;TODAY(),1,IF(H5&lt;TODAY()+30,2,IF(H5&lt;TODAY()+60,3,IF(H5&lt;TODAY()+90,4,5)))))</f>
        <v>5</v>
      </c>
      <c r="L5" s="29"/>
      <c r="M5" s="29"/>
      <c r="N5" s="29"/>
      <c r="O5" s="29"/>
      <c r="P5" s="28" t="s">
        <v>66</v>
      </c>
      <c r="Q5" s="28" t="str">
        <f aca="true">IF(H5="","",IF(H5&lt;TODAY(),"⛔ Cesser immédiatement l'emploi. Saisir préfecture en urgence.",IF(H5&lt;TODAY()+30,"🔴 Vérifier dépôt ANEF + obtenir récépissé sous 8 jours.",IF(H5&lt;TODAY()+60,"🟠 Déposer la demande sur ANEF maintenant (limite R. 431-5).",IF(H5&lt;TODAY()+90,"🟡 Préparer le dossier — convocation salarié sous 15 jours.","🟢 Aucune action immédiate. Réviser au prochain T-90.")))))</f>
        <v>🟢 Aucune action immédiate. Réviser au prochain T-90.</v>
      </c>
      <c r="R5" s="28" t="s">
        <v>67</v>
      </c>
    </row>
    <row r="6" customFormat="false" ht="30" hidden="false" customHeight="true" outlineLevel="0" collapsed="false">
      <c r="A6" s="27" t="n">
        <v>2</v>
      </c>
      <c r="B6" s="28" t="s">
        <v>68</v>
      </c>
      <c r="C6" s="28" t="s">
        <v>69</v>
      </c>
      <c r="D6" s="28" t="s">
        <v>70</v>
      </c>
      <c r="E6" s="28" t="s">
        <v>71</v>
      </c>
      <c r="F6" s="28" t="s">
        <v>72</v>
      </c>
      <c r="G6" s="28" t="s">
        <v>73</v>
      </c>
      <c r="H6" s="29" t="s">
        <v>74</v>
      </c>
      <c r="I6" s="30" t="n">
        <f aca="true">IF(H6="","",H6-TODAY())</f>
        <v>43</v>
      </c>
      <c r="J6" s="31" t="str">
        <f aca="true">IF(H6="","",IF(H6&lt;TODAY(),"EXPIRÉ",IF(H6&lt;TODAY()+30,"CRITIQUE",IF(H6&lt;TODAY()+60,"URGENT",IF(H6&lt;TODAY()+90,"À LANCER","OK")))))</f>
        <v>OK</v>
      </c>
      <c r="K6" s="32" t="n">
        <f aca="true">IF(H6="","",IF(H6&lt;TODAY(),1,IF(H6&lt;TODAY()+30,2,IF(H6&lt;TODAY()+60,3,IF(H6&lt;TODAY()+90,4,5)))))</f>
        <v>5</v>
      </c>
      <c r="L6" s="29" t="s">
        <v>75</v>
      </c>
      <c r="M6" s="29"/>
      <c r="N6" s="29" t="s">
        <v>76</v>
      </c>
      <c r="O6" s="29"/>
      <c r="P6" s="28" t="s">
        <v>77</v>
      </c>
      <c r="Q6" s="28" t="str">
        <f aca="true">IF(H6="","",IF(H6&lt;TODAY(),"⛔ Cesser immédiatement l'emploi. Saisir préfecture en urgence.",IF(H6&lt;TODAY()+30,"🔴 Vérifier dépôt ANEF + obtenir récépissé sous 8 jours.",IF(H6&lt;TODAY()+60,"🟠 Déposer la demande sur ANEF maintenant (limite R. 431-5).",IF(H6&lt;TODAY()+90,"🟡 Préparer le dossier — convocation salarié sous 15 jours.","🟢 Aucune action immédiate. Réviser au prochain T-90.")))))</f>
        <v>🟢 Aucune action immédiate. Réviser au prochain T-90.</v>
      </c>
      <c r="R6" s="28" t="s">
        <v>78</v>
      </c>
    </row>
    <row r="7" customFormat="false" ht="30" hidden="false" customHeight="true" outlineLevel="0" collapsed="false">
      <c r="A7" s="27" t="n">
        <v>3</v>
      </c>
      <c r="B7" s="28" t="s">
        <v>79</v>
      </c>
      <c r="C7" s="28" t="s">
        <v>80</v>
      </c>
      <c r="D7" s="28" t="s">
        <v>81</v>
      </c>
      <c r="E7" s="28" t="s">
        <v>82</v>
      </c>
      <c r="F7" s="28" t="s">
        <v>83</v>
      </c>
      <c r="G7" s="28" t="s">
        <v>84</v>
      </c>
      <c r="H7" s="29" t="s">
        <v>85</v>
      </c>
      <c r="I7" s="30" t="n">
        <f aca="true">IF(H7="","",H7-TODAY())</f>
        <v>11</v>
      </c>
      <c r="J7" s="31" t="str">
        <f aca="true">IF(H7="","",IF(H7&lt;TODAY(),"EXPIRÉ",IF(H7&lt;TODAY()+30,"CRITIQUE",IF(H7&lt;TODAY()+60,"URGENT",IF(H7&lt;TODAY()+90,"À LANCER","OK")))))</f>
        <v>OK</v>
      </c>
      <c r="K7" s="32" t="n">
        <f aca="true">IF(H7="","",IF(H7&lt;TODAY(),1,IF(H7&lt;TODAY()+30,2,IF(H7&lt;TODAY()+60,3,IF(H7&lt;TODAY()+90,4,5)))))</f>
        <v>5</v>
      </c>
      <c r="L7" s="29"/>
      <c r="M7" s="29"/>
      <c r="N7" s="29"/>
      <c r="O7" s="29"/>
      <c r="P7" s="28" t="s">
        <v>86</v>
      </c>
      <c r="Q7" s="28" t="str">
        <f aca="true">IF(H7="","",IF(H7&lt;TODAY(),"⛔ Cesser immédiatement l'emploi. Saisir préfecture en urgence.",IF(H7&lt;TODAY()+30,"🔴 Vérifier dépôt ANEF + obtenir récépissé sous 8 jours.",IF(H7&lt;TODAY()+60,"🟠 Déposer la demande sur ANEF maintenant (limite R. 431-5).",IF(H7&lt;TODAY()+90,"🟡 Préparer le dossier — convocation salarié sous 15 jours.","🟢 Aucune action immédiate. Réviser au prochain T-90.")))))</f>
        <v>🟢 Aucune action immédiate. Réviser au prochain T-90.</v>
      </c>
      <c r="R7" s="28" t="s">
        <v>87</v>
      </c>
    </row>
    <row r="8" customFormat="false" ht="30" hidden="false" customHeight="true" outlineLevel="0" collapsed="false">
      <c r="A8" s="27" t="n">
        <v>4</v>
      </c>
      <c r="B8" s="28" t="s">
        <v>88</v>
      </c>
      <c r="C8" s="28" t="s">
        <v>89</v>
      </c>
      <c r="D8" s="28" t="s">
        <v>90</v>
      </c>
      <c r="E8" s="28" t="s">
        <v>91</v>
      </c>
      <c r="F8" s="28" t="s">
        <v>63</v>
      </c>
      <c r="G8" s="28" t="s">
        <v>92</v>
      </c>
      <c r="H8" s="29" t="s">
        <v>93</v>
      </c>
      <c r="I8" s="30" t="n">
        <f aca="true">IF(H8="","",H8-TODAY())</f>
        <v>296</v>
      </c>
      <c r="J8" s="31" t="str">
        <f aca="true">IF(H8="","",IF(H8&lt;TODAY(),"EXPIRÉ",IF(H8&lt;TODAY()+30,"CRITIQUE",IF(H8&lt;TODAY()+60,"URGENT",IF(H8&lt;TODAY()+90,"À LANCER","OK")))))</f>
        <v>OK</v>
      </c>
      <c r="K8" s="32" t="n">
        <f aca="true">IF(H8="","",IF(H8&lt;TODAY(),1,IF(H8&lt;TODAY()+30,2,IF(H8&lt;TODAY()+60,3,IF(H8&lt;TODAY()+90,4,5)))))</f>
        <v>5</v>
      </c>
      <c r="L8" s="29"/>
      <c r="M8" s="29"/>
      <c r="N8" s="29"/>
      <c r="O8" s="29"/>
      <c r="P8" s="28" t="s">
        <v>66</v>
      </c>
      <c r="Q8" s="28" t="str">
        <f aca="true">IF(H8="","",IF(H8&lt;TODAY(),"⛔ Cesser immédiatement l'emploi. Saisir préfecture en urgence.",IF(H8&lt;TODAY()+30,"🔴 Vérifier dépôt ANEF + obtenir récépissé sous 8 jours.",IF(H8&lt;TODAY()+60,"🟠 Déposer la demande sur ANEF maintenant (limite R. 431-5).",IF(H8&lt;TODAY()+90,"🟡 Préparer le dossier — convocation salarié sous 15 jours.","🟢 Aucune action immédiate. Réviser au prochain T-90.")))))</f>
        <v>🟢 Aucune action immédiate. Réviser au prochain T-90.</v>
      </c>
      <c r="R8" s="28" t="s">
        <v>94</v>
      </c>
    </row>
    <row r="9" customFormat="false" ht="30" hidden="false" customHeight="true" outlineLevel="0" collapsed="false">
      <c r="A9" s="27" t="n">
        <v>5</v>
      </c>
      <c r="B9" s="28" t="s">
        <v>95</v>
      </c>
      <c r="C9" s="28" t="s">
        <v>96</v>
      </c>
      <c r="D9" s="28" t="s">
        <v>97</v>
      </c>
      <c r="E9" s="28" t="s">
        <v>98</v>
      </c>
      <c r="F9" s="28" t="s">
        <v>72</v>
      </c>
      <c r="G9" s="28" t="s">
        <v>99</v>
      </c>
      <c r="H9" s="29" t="s">
        <v>100</v>
      </c>
      <c r="I9" s="30" t="n">
        <f aca="true">IF(H9="","",H9-TODAY())</f>
        <v>2</v>
      </c>
      <c r="J9" s="31" t="str">
        <f aca="true">IF(H9="","",IF(H9&lt;TODAY(),"EXPIRÉ",IF(H9&lt;TODAY()+30,"CRITIQUE",IF(H9&lt;TODAY()+60,"URGENT",IF(H9&lt;TODAY()+90,"À LANCER","OK")))))</f>
        <v>OK</v>
      </c>
      <c r="K9" s="32" t="n">
        <f aca="true">IF(H9="","",IF(H9&lt;TODAY(),1,IF(H9&lt;TODAY()+30,2,IF(H9&lt;TODAY()+60,3,IF(H9&lt;TODAY()+90,4,5)))))</f>
        <v>5</v>
      </c>
      <c r="L9" s="29"/>
      <c r="M9" s="29"/>
      <c r="N9" s="29"/>
      <c r="O9" s="29"/>
      <c r="P9" s="28" t="s">
        <v>77</v>
      </c>
      <c r="Q9" s="28" t="str">
        <f aca="true">IF(H9="","",IF(H9&lt;TODAY(),"⛔ Cesser immédiatement l'emploi. Saisir préfecture en urgence.",IF(H9&lt;TODAY()+30,"🔴 Vérifier dépôt ANEF + obtenir récépissé sous 8 jours.",IF(H9&lt;TODAY()+60,"🟠 Déposer la demande sur ANEF maintenant (limite R. 431-5).",IF(H9&lt;TODAY()+90,"🟡 Préparer le dossier — convocation salarié sous 15 jours.","🟢 Aucune action immédiate. Réviser au prochain T-90.")))))</f>
        <v>🟢 Aucune action immédiate. Réviser au prochain T-90.</v>
      </c>
      <c r="R9" s="28" t="s">
        <v>101</v>
      </c>
    </row>
    <row r="10" customFormat="false" ht="30" hidden="false" customHeight="true" outlineLevel="0" collapsed="false">
      <c r="A10" s="27"/>
      <c r="B10" s="28"/>
      <c r="C10" s="28"/>
      <c r="D10" s="28"/>
      <c r="E10" s="28"/>
      <c r="F10" s="28"/>
      <c r="G10" s="28"/>
      <c r="H10" s="29"/>
      <c r="I10" s="30" t="str">
        <f aca="true">IF(H10="","",H10-TODAY())</f>
        <v/>
      </c>
      <c r="J10" s="31" t="str">
        <f aca="true">IF(H10="","",IF(H10&lt;TODAY(),"EXPIRÉ",IF(H10&lt;TODAY()+30,"CRITIQUE",IF(H10&lt;TODAY()+60,"URGENT",IF(H10&lt;TODAY()+90,"À LANCER","OK")))))</f>
        <v/>
      </c>
      <c r="K10" s="32" t="str">
        <f aca="true">IF(H10="","",IF(H10&lt;TODAY(),1,IF(H10&lt;TODAY()+30,2,IF(H10&lt;TODAY()+60,3,IF(H10&lt;TODAY()+90,4,5)))))</f>
        <v/>
      </c>
      <c r="L10" s="29"/>
      <c r="M10" s="29"/>
      <c r="N10" s="29"/>
      <c r="O10" s="29"/>
      <c r="P10" s="28"/>
      <c r="Q10" s="28" t="str">
        <f aca="true">IF(H10="","",IF(H10&lt;TODAY(),"⛔ Cesser immédiatement l'emploi. Saisir préfecture en urgence.",IF(H10&lt;TODAY()+30,"🔴 Vérifier dépôt ANEF + obtenir récépissé sous 8 jours.",IF(H10&lt;TODAY()+60,"🟠 Déposer la demande sur ANEF maintenant (limite R. 431-5).",IF(H10&lt;TODAY()+90,"🟡 Préparer le dossier — convocation salarié sous 15 jours.","🟢 Aucune action immédiate. Réviser au prochain T-90.")))))</f>
        <v/>
      </c>
      <c r="R10" s="28"/>
    </row>
    <row r="11" customFormat="false" ht="30" hidden="false" customHeight="true" outlineLevel="0" collapsed="false">
      <c r="A11" s="27"/>
      <c r="B11" s="28"/>
      <c r="C11" s="28"/>
      <c r="D11" s="28"/>
      <c r="E11" s="28"/>
      <c r="F11" s="28"/>
      <c r="G11" s="28"/>
      <c r="H11" s="29"/>
      <c r="I11" s="30" t="str">
        <f aca="true">IF(H11="","",H11-TODAY())</f>
        <v/>
      </c>
      <c r="J11" s="31" t="str">
        <f aca="true">IF(H11="","",IF(H11&lt;TODAY(),"EXPIRÉ",IF(H11&lt;TODAY()+30,"CRITIQUE",IF(H11&lt;TODAY()+60,"URGENT",IF(H11&lt;TODAY()+90,"À LANCER","OK")))))</f>
        <v/>
      </c>
      <c r="K11" s="32" t="str">
        <f aca="true">IF(H11="","",IF(H11&lt;TODAY(),1,IF(H11&lt;TODAY()+30,2,IF(H11&lt;TODAY()+60,3,IF(H11&lt;TODAY()+90,4,5)))))</f>
        <v/>
      </c>
      <c r="L11" s="29"/>
      <c r="M11" s="29"/>
      <c r="N11" s="29"/>
      <c r="O11" s="29"/>
      <c r="P11" s="28"/>
      <c r="Q11" s="28" t="str">
        <f aca="true">IF(H11="","",IF(H11&lt;TODAY(),"⛔ Cesser immédiatement l'emploi. Saisir préfecture en urgence.",IF(H11&lt;TODAY()+30,"🔴 Vérifier dépôt ANEF + obtenir récépissé sous 8 jours.",IF(H11&lt;TODAY()+60,"🟠 Déposer la demande sur ANEF maintenant (limite R. 431-5).",IF(H11&lt;TODAY()+90,"🟡 Préparer le dossier — convocation salarié sous 15 jours.","🟢 Aucune action immédiate. Réviser au prochain T-90.")))))</f>
        <v/>
      </c>
      <c r="R11" s="28"/>
    </row>
    <row r="12" customFormat="false" ht="30" hidden="false" customHeight="true" outlineLevel="0" collapsed="false">
      <c r="A12" s="27"/>
      <c r="B12" s="28"/>
      <c r="C12" s="28"/>
      <c r="D12" s="28"/>
      <c r="E12" s="28"/>
      <c r="F12" s="28"/>
      <c r="G12" s="28"/>
      <c r="H12" s="29"/>
      <c r="I12" s="30" t="str">
        <f aca="true">IF(H12="","",H12-TODAY())</f>
        <v/>
      </c>
      <c r="J12" s="31" t="str">
        <f aca="true">IF(H12="","",IF(H12&lt;TODAY(),"EXPIRÉ",IF(H12&lt;TODAY()+30,"CRITIQUE",IF(H12&lt;TODAY()+60,"URGENT",IF(H12&lt;TODAY()+90,"À LANCER","OK")))))</f>
        <v/>
      </c>
      <c r="K12" s="32" t="str">
        <f aca="true">IF(H12="","",IF(H12&lt;TODAY(),1,IF(H12&lt;TODAY()+30,2,IF(H12&lt;TODAY()+60,3,IF(H12&lt;TODAY()+90,4,5)))))</f>
        <v/>
      </c>
      <c r="L12" s="29"/>
      <c r="M12" s="29"/>
      <c r="N12" s="29"/>
      <c r="O12" s="29"/>
      <c r="P12" s="28"/>
      <c r="Q12" s="28" t="str">
        <f aca="true">IF(H12="","",IF(H12&lt;TODAY(),"⛔ Cesser immédiatement l'emploi. Saisir préfecture en urgence.",IF(H12&lt;TODAY()+30,"🔴 Vérifier dépôt ANEF + obtenir récépissé sous 8 jours.",IF(H12&lt;TODAY()+60,"🟠 Déposer la demande sur ANEF maintenant (limite R. 431-5).",IF(H12&lt;TODAY()+90,"🟡 Préparer le dossier — convocation salarié sous 15 jours.","🟢 Aucune action immédiate. Réviser au prochain T-90.")))))</f>
        <v/>
      </c>
      <c r="R12" s="28"/>
    </row>
    <row r="13" customFormat="false" ht="30" hidden="false" customHeight="true" outlineLevel="0" collapsed="false">
      <c r="A13" s="27"/>
      <c r="B13" s="28"/>
      <c r="C13" s="28"/>
      <c r="D13" s="28"/>
      <c r="E13" s="28"/>
      <c r="F13" s="28"/>
      <c r="G13" s="28"/>
      <c r="H13" s="29"/>
      <c r="I13" s="30" t="str">
        <f aca="true">IF(H13="","",H13-TODAY())</f>
        <v/>
      </c>
      <c r="J13" s="31" t="str">
        <f aca="true">IF(H13="","",IF(H13&lt;TODAY(),"EXPIRÉ",IF(H13&lt;TODAY()+30,"CRITIQUE",IF(H13&lt;TODAY()+60,"URGENT",IF(H13&lt;TODAY()+90,"À LANCER","OK")))))</f>
        <v/>
      </c>
      <c r="K13" s="32" t="str">
        <f aca="true">IF(H13="","",IF(H13&lt;TODAY(),1,IF(H13&lt;TODAY()+30,2,IF(H13&lt;TODAY()+60,3,IF(H13&lt;TODAY()+90,4,5)))))</f>
        <v/>
      </c>
      <c r="L13" s="29"/>
      <c r="M13" s="29"/>
      <c r="N13" s="29"/>
      <c r="O13" s="29"/>
      <c r="P13" s="28"/>
      <c r="Q13" s="28" t="str">
        <f aca="true">IF(H13="","",IF(H13&lt;TODAY(),"⛔ Cesser immédiatement l'emploi. Saisir préfecture en urgence.",IF(H13&lt;TODAY()+30,"🔴 Vérifier dépôt ANEF + obtenir récépissé sous 8 jours.",IF(H13&lt;TODAY()+60,"🟠 Déposer la demande sur ANEF maintenant (limite R. 431-5).",IF(H13&lt;TODAY()+90,"🟡 Préparer le dossier — convocation salarié sous 15 jours.","🟢 Aucune action immédiate. Réviser au prochain T-90.")))))</f>
        <v/>
      </c>
      <c r="R13" s="28"/>
    </row>
    <row r="14" customFormat="false" ht="30" hidden="false" customHeight="true" outlineLevel="0" collapsed="false">
      <c r="A14" s="27"/>
      <c r="B14" s="28"/>
      <c r="C14" s="28"/>
      <c r="D14" s="28"/>
      <c r="E14" s="28"/>
      <c r="F14" s="28"/>
      <c r="G14" s="28"/>
      <c r="H14" s="29"/>
      <c r="I14" s="30" t="str">
        <f aca="true">IF(H14="","",H14-TODAY())</f>
        <v/>
      </c>
      <c r="J14" s="31" t="str">
        <f aca="true">IF(H14="","",IF(H14&lt;TODAY(),"EXPIRÉ",IF(H14&lt;TODAY()+30,"CRITIQUE",IF(H14&lt;TODAY()+60,"URGENT",IF(H14&lt;TODAY()+90,"À LANCER","OK")))))</f>
        <v/>
      </c>
      <c r="K14" s="32" t="str">
        <f aca="true">IF(H14="","",IF(H14&lt;TODAY(),1,IF(H14&lt;TODAY()+30,2,IF(H14&lt;TODAY()+60,3,IF(H14&lt;TODAY()+90,4,5)))))</f>
        <v/>
      </c>
      <c r="L14" s="29"/>
      <c r="M14" s="29"/>
      <c r="N14" s="29"/>
      <c r="O14" s="29"/>
      <c r="P14" s="28"/>
      <c r="Q14" s="28" t="str">
        <f aca="true">IF(H14="","",IF(H14&lt;TODAY(),"⛔ Cesser immédiatement l'emploi. Saisir préfecture en urgence.",IF(H14&lt;TODAY()+30,"🔴 Vérifier dépôt ANEF + obtenir récépissé sous 8 jours.",IF(H14&lt;TODAY()+60,"🟠 Déposer la demande sur ANEF maintenant (limite R. 431-5).",IF(H14&lt;TODAY()+90,"🟡 Préparer le dossier — convocation salarié sous 15 jours.","🟢 Aucune action immédiate. Réviser au prochain T-90.")))))</f>
        <v/>
      </c>
      <c r="R14" s="28"/>
    </row>
    <row r="15" customFormat="false" ht="30" hidden="false" customHeight="true" outlineLevel="0" collapsed="false">
      <c r="A15" s="27"/>
      <c r="B15" s="28"/>
      <c r="C15" s="28"/>
      <c r="D15" s="28"/>
      <c r="E15" s="28"/>
      <c r="F15" s="28"/>
      <c r="G15" s="28"/>
      <c r="H15" s="29"/>
      <c r="I15" s="30" t="str">
        <f aca="true">IF(H15="","",H15-TODAY())</f>
        <v/>
      </c>
      <c r="J15" s="31" t="str">
        <f aca="true">IF(H15="","",IF(H15&lt;TODAY(),"EXPIRÉ",IF(H15&lt;TODAY()+30,"CRITIQUE",IF(H15&lt;TODAY()+60,"URGENT",IF(H15&lt;TODAY()+90,"À LANCER","OK")))))</f>
        <v/>
      </c>
      <c r="K15" s="32" t="str">
        <f aca="true">IF(H15="","",IF(H15&lt;TODAY(),1,IF(H15&lt;TODAY()+30,2,IF(H15&lt;TODAY()+60,3,IF(H15&lt;TODAY()+90,4,5)))))</f>
        <v/>
      </c>
      <c r="L15" s="29"/>
      <c r="M15" s="29"/>
      <c r="N15" s="29"/>
      <c r="O15" s="29"/>
      <c r="P15" s="28"/>
      <c r="Q15" s="28" t="str">
        <f aca="true">IF(H15="","",IF(H15&lt;TODAY(),"⛔ Cesser immédiatement l'emploi. Saisir préfecture en urgence.",IF(H15&lt;TODAY()+30,"🔴 Vérifier dépôt ANEF + obtenir récépissé sous 8 jours.",IF(H15&lt;TODAY()+60,"🟠 Déposer la demande sur ANEF maintenant (limite R. 431-5).",IF(H15&lt;TODAY()+90,"🟡 Préparer le dossier — convocation salarié sous 15 jours.","🟢 Aucune action immédiate. Réviser au prochain T-90.")))))</f>
        <v/>
      </c>
      <c r="R15" s="28"/>
    </row>
    <row r="16" customFormat="false" ht="30" hidden="false" customHeight="true" outlineLevel="0" collapsed="false">
      <c r="A16" s="27"/>
      <c r="B16" s="28"/>
      <c r="C16" s="28"/>
      <c r="D16" s="28"/>
      <c r="E16" s="28"/>
      <c r="F16" s="28"/>
      <c r="G16" s="28"/>
      <c r="H16" s="29"/>
      <c r="I16" s="30" t="str">
        <f aca="true">IF(H16="","",H16-TODAY())</f>
        <v/>
      </c>
      <c r="J16" s="31" t="str">
        <f aca="true">IF(H16="","",IF(H16&lt;TODAY(),"EXPIRÉ",IF(H16&lt;TODAY()+30,"CRITIQUE",IF(H16&lt;TODAY()+60,"URGENT",IF(H16&lt;TODAY()+90,"À LANCER","OK")))))</f>
        <v/>
      </c>
      <c r="K16" s="32" t="str">
        <f aca="true">IF(H16="","",IF(H16&lt;TODAY(),1,IF(H16&lt;TODAY()+30,2,IF(H16&lt;TODAY()+60,3,IF(H16&lt;TODAY()+90,4,5)))))</f>
        <v/>
      </c>
      <c r="L16" s="29"/>
      <c r="M16" s="29"/>
      <c r="N16" s="29"/>
      <c r="O16" s="29"/>
      <c r="P16" s="28"/>
      <c r="Q16" s="28" t="str">
        <f aca="true">IF(H16="","",IF(H16&lt;TODAY(),"⛔ Cesser immédiatement l'emploi. Saisir préfecture en urgence.",IF(H16&lt;TODAY()+30,"🔴 Vérifier dépôt ANEF + obtenir récépissé sous 8 jours.",IF(H16&lt;TODAY()+60,"🟠 Déposer la demande sur ANEF maintenant (limite R. 431-5).",IF(H16&lt;TODAY()+90,"🟡 Préparer le dossier — convocation salarié sous 15 jours.","🟢 Aucune action immédiate. Réviser au prochain T-90.")))))</f>
        <v/>
      </c>
      <c r="R16" s="28"/>
    </row>
    <row r="17" customFormat="false" ht="30" hidden="false" customHeight="true" outlineLevel="0" collapsed="false">
      <c r="A17" s="27"/>
      <c r="B17" s="28"/>
      <c r="C17" s="28"/>
      <c r="D17" s="28"/>
      <c r="E17" s="28"/>
      <c r="F17" s="28"/>
      <c r="G17" s="28"/>
      <c r="H17" s="29"/>
      <c r="I17" s="30" t="str">
        <f aca="true">IF(H17="","",H17-TODAY())</f>
        <v/>
      </c>
      <c r="J17" s="31" t="str">
        <f aca="true">IF(H17="","",IF(H17&lt;TODAY(),"EXPIRÉ",IF(H17&lt;TODAY()+30,"CRITIQUE",IF(H17&lt;TODAY()+60,"URGENT",IF(H17&lt;TODAY()+90,"À LANCER","OK")))))</f>
        <v/>
      </c>
      <c r="K17" s="32" t="str">
        <f aca="true">IF(H17="","",IF(H17&lt;TODAY(),1,IF(H17&lt;TODAY()+30,2,IF(H17&lt;TODAY()+60,3,IF(H17&lt;TODAY()+90,4,5)))))</f>
        <v/>
      </c>
      <c r="L17" s="29"/>
      <c r="M17" s="29"/>
      <c r="N17" s="29"/>
      <c r="O17" s="29"/>
      <c r="P17" s="28"/>
      <c r="Q17" s="28" t="str">
        <f aca="true">IF(H17="","",IF(H17&lt;TODAY(),"⛔ Cesser immédiatement l'emploi. Saisir préfecture en urgence.",IF(H17&lt;TODAY()+30,"🔴 Vérifier dépôt ANEF + obtenir récépissé sous 8 jours.",IF(H17&lt;TODAY()+60,"🟠 Déposer la demande sur ANEF maintenant (limite R. 431-5).",IF(H17&lt;TODAY()+90,"🟡 Préparer le dossier — convocation salarié sous 15 jours.","🟢 Aucune action immédiate. Réviser au prochain T-90.")))))</f>
        <v/>
      </c>
      <c r="R17" s="28"/>
    </row>
    <row r="18" customFormat="false" ht="30" hidden="false" customHeight="true" outlineLevel="0" collapsed="false">
      <c r="A18" s="27"/>
      <c r="B18" s="28"/>
      <c r="C18" s="28"/>
      <c r="D18" s="28"/>
      <c r="E18" s="28"/>
      <c r="F18" s="28"/>
      <c r="G18" s="28"/>
      <c r="H18" s="29"/>
      <c r="I18" s="30" t="str">
        <f aca="true">IF(H18="","",H18-TODAY())</f>
        <v/>
      </c>
      <c r="J18" s="31" t="str">
        <f aca="true">IF(H18="","",IF(H18&lt;TODAY(),"EXPIRÉ",IF(H18&lt;TODAY()+30,"CRITIQUE",IF(H18&lt;TODAY()+60,"URGENT",IF(H18&lt;TODAY()+90,"À LANCER","OK")))))</f>
        <v/>
      </c>
      <c r="K18" s="32" t="str">
        <f aca="true">IF(H18="","",IF(H18&lt;TODAY(),1,IF(H18&lt;TODAY()+30,2,IF(H18&lt;TODAY()+60,3,IF(H18&lt;TODAY()+90,4,5)))))</f>
        <v/>
      </c>
      <c r="L18" s="29"/>
      <c r="M18" s="29"/>
      <c r="N18" s="29"/>
      <c r="O18" s="29"/>
      <c r="P18" s="28"/>
      <c r="Q18" s="28" t="str">
        <f aca="true">IF(H18="","",IF(H18&lt;TODAY(),"⛔ Cesser immédiatement l'emploi. Saisir préfecture en urgence.",IF(H18&lt;TODAY()+30,"🔴 Vérifier dépôt ANEF + obtenir récépissé sous 8 jours.",IF(H18&lt;TODAY()+60,"🟠 Déposer la demande sur ANEF maintenant (limite R. 431-5).",IF(H18&lt;TODAY()+90,"🟡 Préparer le dossier — convocation salarié sous 15 jours.","🟢 Aucune action immédiate. Réviser au prochain T-90.")))))</f>
        <v/>
      </c>
      <c r="R18" s="28"/>
    </row>
    <row r="19" customFormat="false" ht="30" hidden="false" customHeight="true" outlineLevel="0" collapsed="false">
      <c r="A19" s="27"/>
      <c r="B19" s="28"/>
      <c r="C19" s="28"/>
      <c r="D19" s="28"/>
      <c r="E19" s="28"/>
      <c r="F19" s="28"/>
      <c r="G19" s="28"/>
      <c r="H19" s="29"/>
      <c r="I19" s="30" t="str">
        <f aca="true">IF(H19="","",H19-TODAY())</f>
        <v/>
      </c>
      <c r="J19" s="31" t="str">
        <f aca="true">IF(H19="","",IF(H19&lt;TODAY(),"EXPIRÉ",IF(H19&lt;TODAY()+30,"CRITIQUE",IF(H19&lt;TODAY()+60,"URGENT",IF(H19&lt;TODAY()+90,"À LANCER","OK")))))</f>
        <v/>
      </c>
      <c r="K19" s="32" t="str">
        <f aca="true">IF(H19="","",IF(H19&lt;TODAY(),1,IF(H19&lt;TODAY()+30,2,IF(H19&lt;TODAY()+60,3,IF(H19&lt;TODAY()+90,4,5)))))</f>
        <v/>
      </c>
      <c r="L19" s="29"/>
      <c r="M19" s="29"/>
      <c r="N19" s="29"/>
      <c r="O19" s="29"/>
      <c r="P19" s="28"/>
      <c r="Q19" s="28" t="str">
        <f aca="true">IF(H19="","",IF(H19&lt;TODAY(),"⛔ Cesser immédiatement l'emploi. Saisir préfecture en urgence.",IF(H19&lt;TODAY()+30,"🔴 Vérifier dépôt ANEF + obtenir récépissé sous 8 jours.",IF(H19&lt;TODAY()+60,"🟠 Déposer la demande sur ANEF maintenant (limite R. 431-5).",IF(H19&lt;TODAY()+90,"🟡 Préparer le dossier — convocation salarié sous 15 jours.","🟢 Aucune action immédiate. Réviser au prochain T-90.")))))</f>
        <v/>
      </c>
      <c r="R19" s="28"/>
    </row>
    <row r="20" customFormat="false" ht="30" hidden="false" customHeight="true" outlineLevel="0" collapsed="false">
      <c r="A20" s="27"/>
      <c r="B20" s="28"/>
      <c r="C20" s="28"/>
      <c r="D20" s="28"/>
      <c r="E20" s="28"/>
      <c r="F20" s="28"/>
      <c r="G20" s="28"/>
      <c r="H20" s="29"/>
      <c r="I20" s="30" t="str">
        <f aca="true">IF(H20="","",H20-TODAY())</f>
        <v/>
      </c>
      <c r="J20" s="31" t="str">
        <f aca="true">IF(H20="","",IF(H20&lt;TODAY(),"EXPIRÉ",IF(H20&lt;TODAY()+30,"CRITIQUE",IF(H20&lt;TODAY()+60,"URGENT",IF(H20&lt;TODAY()+90,"À LANCER","OK")))))</f>
        <v/>
      </c>
      <c r="K20" s="32" t="str">
        <f aca="true">IF(H20="","",IF(H20&lt;TODAY(),1,IF(H20&lt;TODAY()+30,2,IF(H20&lt;TODAY()+60,3,IF(H20&lt;TODAY()+90,4,5)))))</f>
        <v/>
      </c>
      <c r="L20" s="29"/>
      <c r="M20" s="29"/>
      <c r="N20" s="29"/>
      <c r="O20" s="29"/>
      <c r="P20" s="28"/>
      <c r="Q20" s="28" t="str">
        <f aca="true">IF(H20="","",IF(H20&lt;TODAY(),"⛔ Cesser immédiatement l'emploi. Saisir préfecture en urgence.",IF(H20&lt;TODAY()+30,"🔴 Vérifier dépôt ANEF + obtenir récépissé sous 8 jours.",IF(H20&lt;TODAY()+60,"🟠 Déposer la demande sur ANEF maintenant (limite R. 431-5).",IF(H20&lt;TODAY()+90,"🟡 Préparer le dossier — convocation salarié sous 15 jours.","🟢 Aucune action immédiate. Réviser au prochain T-90.")))))</f>
        <v/>
      </c>
      <c r="R20" s="28"/>
    </row>
    <row r="21" customFormat="false" ht="30" hidden="false" customHeight="true" outlineLevel="0" collapsed="false">
      <c r="A21" s="27"/>
      <c r="B21" s="28"/>
      <c r="C21" s="28"/>
      <c r="D21" s="28"/>
      <c r="E21" s="28"/>
      <c r="F21" s="28"/>
      <c r="G21" s="28"/>
      <c r="H21" s="29"/>
      <c r="I21" s="30" t="str">
        <f aca="true">IF(H21="","",H21-TODAY())</f>
        <v/>
      </c>
      <c r="J21" s="31" t="str">
        <f aca="true">IF(H21="","",IF(H21&lt;TODAY(),"EXPIRÉ",IF(H21&lt;TODAY()+30,"CRITIQUE",IF(H21&lt;TODAY()+60,"URGENT",IF(H21&lt;TODAY()+90,"À LANCER","OK")))))</f>
        <v/>
      </c>
      <c r="K21" s="32" t="str">
        <f aca="true">IF(H21="","",IF(H21&lt;TODAY(),1,IF(H21&lt;TODAY()+30,2,IF(H21&lt;TODAY()+60,3,IF(H21&lt;TODAY()+90,4,5)))))</f>
        <v/>
      </c>
      <c r="L21" s="29"/>
      <c r="M21" s="29"/>
      <c r="N21" s="29"/>
      <c r="O21" s="29"/>
      <c r="P21" s="28"/>
      <c r="Q21" s="28" t="str">
        <f aca="true">IF(H21="","",IF(H21&lt;TODAY(),"⛔ Cesser immédiatement l'emploi. Saisir préfecture en urgence.",IF(H21&lt;TODAY()+30,"🔴 Vérifier dépôt ANEF + obtenir récépissé sous 8 jours.",IF(H21&lt;TODAY()+60,"🟠 Déposer la demande sur ANEF maintenant (limite R. 431-5).",IF(H21&lt;TODAY()+90,"🟡 Préparer le dossier — convocation salarié sous 15 jours.","🟢 Aucune action immédiate. Réviser au prochain T-90.")))))</f>
        <v/>
      </c>
      <c r="R21" s="28"/>
    </row>
    <row r="22" customFormat="false" ht="30" hidden="false" customHeight="true" outlineLevel="0" collapsed="false">
      <c r="A22" s="27"/>
      <c r="B22" s="28"/>
      <c r="C22" s="28"/>
      <c r="D22" s="28"/>
      <c r="E22" s="28"/>
      <c r="F22" s="28"/>
      <c r="G22" s="28"/>
      <c r="H22" s="29"/>
      <c r="I22" s="30" t="str">
        <f aca="true">IF(H22="","",H22-TODAY())</f>
        <v/>
      </c>
      <c r="J22" s="31" t="str">
        <f aca="true">IF(H22="","",IF(H22&lt;TODAY(),"EXPIRÉ",IF(H22&lt;TODAY()+30,"CRITIQUE",IF(H22&lt;TODAY()+60,"URGENT",IF(H22&lt;TODAY()+90,"À LANCER","OK")))))</f>
        <v/>
      </c>
      <c r="K22" s="32" t="str">
        <f aca="true">IF(H22="","",IF(H22&lt;TODAY(),1,IF(H22&lt;TODAY()+30,2,IF(H22&lt;TODAY()+60,3,IF(H22&lt;TODAY()+90,4,5)))))</f>
        <v/>
      </c>
      <c r="L22" s="29"/>
      <c r="M22" s="29"/>
      <c r="N22" s="29"/>
      <c r="O22" s="29"/>
      <c r="P22" s="28"/>
      <c r="Q22" s="28" t="str">
        <f aca="true">IF(H22="","",IF(H22&lt;TODAY(),"⛔ Cesser immédiatement l'emploi. Saisir préfecture en urgence.",IF(H22&lt;TODAY()+30,"🔴 Vérifier dépôt ANEF + obtenir récépissé sous 8 jours.",IF(H22&lt;TODAY()+60,"🟠 Déposer la demande sur ANEF maintenant (limite R. 431-5).",IF(H22&lt;TODAY()+90,"🟡 Préparer le dossier — convocation salarié sous 15 jours.","🟢 Aucune action immédiate. Réviser au prochain T-90.")))))</f>
        <v/>
      </c>
      <c r="R22" s="28"/>
    </row>
    <row r="23" customFormat="false" ht="30" hidden="false" customHeight="true" outlineLevel="0" collapsed="false">
      <c r="A23" s="27"/>
      <c r="B23" s="28"/>
      <c r="C23" s="28"/>
      <c r="D23" s="28"/>
      <c r="E23" s="28"/>
      <c r="F23" s="28"/>
      <c r="G23" s="28"/>
      <c r="H23" s="29"/>
      <c r="I23" s="30" t="str">
        <f aca="true">IF(H23="","",H23-TODAY())</f>
        <v/>
      </c>
      <c r="J23" s="31" t="str">
        <f aca="true">IF(H23="","",IF(H23&lt;TODAY(),"EXPIRÉ",IF(H23&lt;TODAY()+30,"CRITIQUE",IF(H23&lt;TODAY()+60,"URGENT",IF(H23&lt;TODAY()+90,"À LANCER","OK")))))</f>
        <v/>
      </c>
      <c r="K23" s="32" t="str">
        <f aca="true">IF(H23="","",IF(H23&lt;TODAY(),1,IF(H23&lt;TODAY()+30,2,IF(H23&lt;TODAY()+60,3,IF(H23&lt;TODAY()+90,4,5)))))</f>
        <v/>
      </c>
      <c r="L23" s="29"/>
      <c r="M23" s="29"/>
      <c r="N23" s="29"/>
      <c r="O23" s="29"/>
      <c r="P23" s="28"/>
      <c r="Q23" s="28" t="str">
        <f aca="true">IF(H23="","",IF(H23&lt;TODAY(),"⛔ Cesser immédiatement l'emploi. Saisir préfecture en urgence.",IF(H23&lt;TODAY()+30,"🔴 Vérifier dépôt ANEF + obtenir récépissé sous 8 jours.",IF(H23&lt;TODAY()+60,"🟠 Déposer la demande sur ANEF maintenant (limite R. 431-5).",IF(H23&lt;TODAY()+90,"🟡 Préparer le dossier — convocation salarié sous 15 jours.","🟢 Aucune action immédiate. Réviser au prochain T-90.")))))</f>
        <v/>
      </c>
      <c r="R23" s="28"/>
    </row>
    <row r="24" customFormat="false" ht="30" hidden="false" customHeight="true" outlineLevel="0" collapsed="false">
      <c r="A24" s="27"/>
      <c r="B24" s="28"/>
      <c r="C24" s="28"/>
      <c r="D24" s="28"/>
      <c r="E24" s="28"/>
      <c r="F24" s="28"/>
      <c r="G24" s="28"/>
      <c r="H24" s="29"/>
      <c r="I24" s="30" t="str">
        <f aca="true">IF(H24="","",H24-TODAY())</f>
        <v/>
      </c>
      <c r="J24" s="31" t="str">
        <f aca="true">IF(H24="","",IF(H24&lt;TODAY(),"EXPIRÉ",IF(H24&lt;TODAY()+30,"CRITIQUE",IF(H24&lt;TODAY()+60,"URGENT",IF(H24&lt;TODAY()+90,"À LANCER","OK")))))</f>
        <v/>
      </c>
      <c r="K24" s="32" t="str">
        <f aca="true">IF(H24="","",IF(H24&lt;TODAY(),1,IF(H24&lt;TODAY()+30,2,IF(H24&lt;TODAY()+60,3,IF(H24&lt;TODAY()+90,4,5)))))</f>
        <v/>
      </c>
      <c r="L24" s="29"/>
      <c r="M24" s="29"/>
      <c r="N24" s="29"/>
      <c r="O24" s="29"/>
      <c r="P24" s="28"/>
      <c r="Q24" s="28" t="str">
        <f aca="true">IF(H24="","",IF(H24&lt;TODAY(),"⛔ Cesser immédiatement l'emploi. Saisir préfecture en urgence.",IF(H24&lt;TODAY()+30,"🔴 Vérifier dépôt ANEF + obtenir récépissé sous 8 jours.",IF(H24&lt;TODAY()+60,"🟠 Déposer la demande sur ANEF maintenant (limite R. 431-5).",IF(H24&lt;TODAY()+90,"🟡 Préparer le dossier — convocation salarié sous 15 jours.","🟢 Aucune action immédiate. Réviser au prochain T-90.")))))</f>
        <v/>
      </c>
      <c r="R24" s="28"/>
    </row>
    <row r="25" customFormat="false" ht="30" hidden="false" customHeight="true" outlineLevel="0" collapsed="false">
      <c r="A25" s="27"/>
      <c r="B25" s="28"/>
      <c r="C25" s="28"/>
      <c r="D25" s="28"/>
      <c r="E25" s="28"/>
      <c r="F25" s="28"/>
      <c r="G25" s="28"/>
      <c r="H25" s="29"/>
      <c r="I25" s="30" t="str">
        <f aca="true">IF(H25="","",H25-TODAY())</f>
        <v/>
      </c>
      <c r="J25" s="31" t="str">
        <f aca="true">IF(H25="","",IF(H25&lt;TODAY(),"EXPIRÉ",IF(H25&lt;TODAY()+30,"CRITIQUE",IF(H25&lt;TODAY()+60,"URGENT",IF(H25&lt;TODAY()+90,"À LANCER","OK")))))</f>
        <v/>
      </c>
      <c r="K25" s="32" t="str">
        <f aca="true">IF(H25="","",IF(H25&lt;TODAY(),1,IF(H25&lt;TODAY()+30,2,IF(H25&lt;TODAY()+60,3,IF(H25&lt;TODAY()+90,4,5)))))</f>
        <v/>
      </c>
      <c r="L25" s="29"/>
      <c r="M25" s="29"/>
      <c r="N25" s="29"/>
      <c r="O25" s="29"/>
      <c r="P25" s="28"/>
      <c r="Q25" s="28" t="str">
        <f aca="true">IF(H25="","",IF(H25&lt;TODAY(),"⛔ Cesser immédiatement l'emploi. Saisir préfecture en urgence.",IF(H25&lt;TODAY()+30,"🔴 Vérifier dépôt ANEF + obtenir récépissé sous 8 jours.",IF(H25&lt;TODAY()+60,"🟠 Déposer la demande sur ANEF maintenant (limite R. 431-5).",IF(H25&lt;TODAY()+90,"🟡 Préparer le dossier — convocation salarié sous 15 jours.","🟢 Aucune action immédiate. Réviser au prochain T-90.")))))</f>
        <v/>
      </c>
      <c r="R25" s="28"/>
    </row>
    <row r="26" customFormat="false" ht="30" hidden="false" customHeight="true" outlineLevel="0" collapsed="false">
      <c r="A26" s="27"/>
      <c r="B26" s="28"/>
      <c r="C26" s="28"/>
      <c r="D26" s="28"/>
      <c r="E26" s="28"/>
      <c r="F26" s="28"/>
      <c r="G26" s="28"/>
      <c r="H26" s="29"/>
      <c r="I26" s="30" t="str">
        <f aca="true">IF(H26="","",H26-TODAY())</f>
        <v/>
      </c>
      <c r="J26" s="31" t="str">
        <f aca="true">IF(H26="","",IF(H26&lt;TODAY(),"EXPIRÉ",IF(H26&lt;TODAY()+30,"CRITIQUE",IF(H26&lt;TODAY()+60,"URGENT",IF(H26&lt;TODAY()+90,"À LANCER","OK")))))</f>
        <v/>
      </c>
      <c r="K26" s="32" t="str">
        <f aca="true">IF(H26="","",IF(H26&lt;TODAY(),1,IF(H26&lt;TODAY()+30,2,IF(H26&lt;TODAY()+60,3,IF(H26&lt;TODAY()+90,4,5)))))</f>
        <v/>
      </c>
      <c r="L26" s="29"/>
      <c r="M26" s="29"/>
      <c r="N26" s="29"/>
      <c r="O26" s="29"/>
      <c r="P26" s="28"/>
      <c r="Q26" s="28" t="str">
        <f aca="true">IF(H26="","",IF(H26&lt;TODAY(),"⛔ Cesser immédiatement l'emploi. Saisir préfecture en urgence.",IF(H26&lt;TODAY()+30,"🔴 Vérifier dépôt ANEF + obtenir récépissé sous 8 jours.",IF(H26&lt;TODAY()+60,"🟠 Déposer la demande sur ANEF maintenant (limite R. 431-5).",IF(H26&lt;TODAY()+90,"🟡 Préparer le dossier — convocation salarié sous 15 jours.","🟢 Aucune action immédiate. Réviser au prochain T-90.")))))</f>
        <v/>
      </c>
      <c r="R26" s="28"/>
    </row>
    <row r="27" customFormat="false" ht="30" hidden="false" customHeight="true" outlineLevel="0" collapsed="false">
      <c r="A27" s="27"/>
      <c r="B27" s="28"/>
      <c r="C27" s="28"/>
      <c r="D27" s="28"/>
      <c r="E27" s="28"/>
      <c r="F27" s="28"/>
      <c r="G27" s="28"/>
      <c r="H27" s="29"/>
      <c r="I27" s="30" t="str">
        <f aca="true">IF(H27="","",H27-TODAY())</f>
        <v/>
      </c>
      <c r="J27" s="31" t="str">
        <f aca="true">IF(H27="","",IF(H27&lt;TODAY(),"EXPIRÉ",IF(H27&lt;TODAY()+30,"CRITIQUE",IF(H27&lt;TODAY()+60,"URGENT",IF(H27&lt;TODAY()+90,"À LANCER","OK")))))</f>
        <v/>
      </c>
      <c r="K27" s="32" t="str">
        <f aca="true">IF(H27="","",IF(H27&lt;TODAY(),1,IF(H27&lt;TODAY()+30,2,IF(H27&lt;TODAY()+60,3,IF(H27&lt;TODAY()+90,4,5)))))</f>
        <v/>
      </c>
      <c r="L27" s="29"/>
      <c r="M27" s="29"/>
      <c r="N27" s="29"/>
      <c r="O27" s="29"/>
      <c r="P27" s="28"/>
      <c r="Q27" s="28" t="str">
        <f aca="true">IF(H27="","",IF(H27&lt;TODAY(),"⛔ Cesser immédiatement l'emploi. Saisir préfecture en urgence.",IF(H27&lt;TODAY()+30,"🔴 Vérifier dépôt ANEF + obtenir récépissé sous 8 jours.",IF(H27&lt;TODAY()+60,"🟠 Déposer la demande sur ANEF maintenant (limite R. 431-5).",IF(H27&lt;TODAY()+90,"🟡 Préparer le dossier — convocation salarié sous 15 jours.","🟢 Aucune action immédiate. Réviser au prochain T-90.")))))</f>
        <v/>
      </c>
      <c r="R27" s="28"/>
    </row>
    <row r="28" customFormat="false" ht="30" hidden="false" customHeight="true" outlineLevel="0" collapsed="false">
      <c r="A28" s="27"/>
      <c r="B28" s="28"/>
      <c r="C28" s="28"/>
      <c r="D28" s="28"/>
      <c r="E28" s="28"/>
      <c r="F28" s="28"/>
      <c r="G28" s="28"/>
      <c r="H28" s="29"/>
      <c r="I28" s="30" t="str">
        <f aca="true">IF(H28="","",H28-TODAY())</f>
        <v/>
      </c>
      <c r="J28" s="31" t="str">
        <f aca="true">IF(H28="","",IF(H28&lt;TODAY(),"EXPIRÉ",IF(H28&lt;TODAY()+30,"CRITIQUE",IF(H28&lt;TODAY()+60,"URGENT",IF(H28&lt;TODAY()+90,"À LANCER","OK")))))</f>
        <v/>
      </c>
      <c r="K28" s="32" t="str">
        <f aca="true">IF(H28="","",IF(H28&lt;TODAY(),1,IF(H28&lt;TODAY()+30,2,IF(H28&lt;TODAY()+60,3,IF(H28&lt;TODAY()+90,4,5)))))</f>
        <v/>
      </c>
      <c r="L28" s="29"/>
      <c r="M28" s="29"/>
      <c r="N28" s="29"/>
      <c r="O28" s="29"/>
      <c r="P28" s="28"/>
      <c r="Q28" s="28" t="str">
        <f aca="true">IF(H28="","",IF(H28&lt;TODAY(),"⛔ Cesser immédiatement l'emploi. Saisir préfecture en urgence.",IF(H28&lt;TODAY()+30,"🔴 Vérifier dépôt ANEF + obtenir récépissé sous 8 jours.",IF(H28&lt;TODAY()+60,"🟠 Déposer la demande sur ANEF maintenant (limite R. 431-5).",IF(H28&lt;TODAY()+90,"🟡 Préparer le dossier — convocation salarié sous 15 jours.","🟢 Aucune action immédiate. Réviser au prochain T-90.")))))</f>
        <v/>
      </c>
      <c r="R28" s="28"/>
    </row>
    <row r="29" customFormat="false" ht="30" hidden="false" customHeight="true" outlineLevel="0" collapsed="false">
      <c r="A29" s="27"/>
      <c r="B29" s="28"/>
      <c r="C29" s="28"/>
      <c r="D29" s="28"/>
      <c r="E29" s="28"/>
      <c r="F29" s="28"/>
      <c r="G29" s="28"/>
      <c r="H29" s="29"/>
      <c r="I29" s="30" t="str">
        <f aca="true">IF(H29="","",H29-TODAY())</f>
        <v/>
      </c>
      <c r="J29" s="31" t="str">
        <f aca="true">IF(H29="","",IF(H29&lt;TODAY(),"EXPIRÉ",IF(H29&lt;TODAY()+30,"CRITIQUE",IF(H29&lt;TODAY()+60,"URGENT",IF(H29&lt;TODAY()+90,"À LANCER","OK")))))</f>
        <v/>
      </c>
      <c r="K29" s="32" t="str">
        <f aca="true">IF(H29="","",IF(H29&lt;TODAY(),1,IF(H29&lt;TODAY()+30,2,IF(H29&lt;TODAY()+60,3,IF(H29&lt;TODAY()+90,4,5)))))</f>
        <v/>
      </c>
      <c r="L29" s="29"/>
      <c r="M29" s="29"/>
      <c r="N29" s="29"/>
      <c r="O29" s="29"/>
      <c r="P29" s="28"/>
      <c r="Q29" s="28" t="str">
        <f aca="true">IF(H29="","",IF(H29&lt;TODAY(),"⛔ Cesser immédiatement l'emploi. Saisir préfecture en urgence.",IF(H29&lt;TODAY()+30,"🔴 Vérifier dépôt ANEF + obtenir récépissé sous 8 jours.",IF(H29&lt;TODAY()+60,"🟠 Déposer la demande sur ANEF maintenant (limite R. 431-5).",IF(H29&lt;TODAY()+90,"🟡 Préparer le dossier — convocation salarié sous 15 jours.","🟢 Aucune action immédiate. Réviser au prochain T-90.")))))</f>
        <v/>
      </c>
      <c r="R29" s="28"/>
    </row>
    <row r="30" customFormat="false" ht="30" hidden="false" customHeight="true" outlineLevel="0" collapsed="false">
      <c r="A30" s="27"/>
      <c r="B30" s="28"/>
      <c r="C30" s="28"/>
      <c r="D30" s="28"/>
      <c r="E30" s="28"/>
      <c r="F30" s="28"/>
      <c r="G30" s="28"/>
      <c r="H30" s="29"/>
      <c r="I30" s="30" t="str">
        <f aca="true">IF(H30="","",H30-TODAY())</f>
        <v/>
      </c>
      <c r="J30" s="31" t="str">
        <f aca="true">IF(H30="","",IF(H30&lt;TODAY(),"EXPIRÉ",IF(H30&lt;TODAY()+30,"CRITIQUE",IF(H30&lt;TODAY()+60,"URGENT",IF(H30&lt;TODAY()+90,"À LANCER","OK")))))</f>
        <v/>
      </c>
      <c r="K30" s="32" t="str">
        <f aca="true">IF(H30="","",IF(H30&lt;TODAY(),1,IF(H30&lt;TODAY()+30,2,IF(H30&lt;TODAY()+60,3,IF(H30&lt;TODAY()+90,4,5)))))</f>
        <v/>
      </c>
      <c r="L30" s="29"/>
      <c r="M30" s="29"/>
      <c r="N30" s="29"/>
      <c r="O30" s="29"/>
      <c r="P30" s="28"/>
      <c r="Q30" s="28" t="str">
        <f aca="true">IF(H30="","",IF(H30&lt;TODAY(),"⛔ Cesser immédiatement l'emploi. Saisir préfecture en urgence.",IF(H30&lt;TODAY()+30,"🔴 Vérifier dépôt ANEF + obtenir récépissé sous 8 jours.",IF(H30&lt;TODAY()+60,"🟠 Déposer la demande sur ANEF maintenant (limite R. 431-5).",IF(H30&lt;TODAY()+90,"🟡 Préparer le dossier — convocation salarié sous 15 jours.","🟢 Aucune action immédiate. Réviser au prochain T-90.")))))</f>
        <v/>
      </c>
      <c r="R30" s="28"/>
    </row>
    <row r="31" customFormat="false" ht="30" hidden="false" customHeight="true" outlineLevel="0" collapsed="false">
      <c r="A31" s="27"/>
      <c r="B31" s="28"/>
      <c r="C31" s="28"/>
      <c r="D31" s="28"/>
      <c r="E31" s="28"/>
      <c r="F31" s="28"/>
      <c r="G31" s="28"/>
      <c r="H31" s="29"/>
      <c r="I31" s="30" t="str">
        <f aca="true">IF(H31="","",H31-TODAY())</f>
        <v/>
      </c>
      <c r="J31" s="31" t="str">
        <f aca="true">IF(H31="","",IF(H31&lt;TODAY(),"EXPIRÉ",IF(H31&lt;TODAY()+30,"CRITIQUE",IF(H31&lt;TODAY()+60,"URGENT",IF(H31&lt;TODAY()+90,"À LANCER","OK")))))</f>
        <v/>
      </c>
      <c r="K31" s="32" t="str">
        <f aca="true">IF(H31="","",IF(H31&lt;TODAY(),1,IF(H31&lt;TODAY()+30,2,IF(H31&lt;TODAY()+60,3,IF(H31&lt;TODAY()+90,4,5)))))</f>
        <v/>
      </c>
      <c r="L31" s="29"/>
      <c r="M31" s="29"/>
      <c r="N31" s="29"/>
      <c r="O31" s="29"/>
      <c r="P31" s="28"/>
      <c r="Q31" s="28" t="str">
        <f aca="true">IF(H31="","",IF(H31&lt;TODAY(),"⛔ Cesser immédiatement l'emploi. Saisir préfecture en urgence.",IF(H31&lt;TODAY()+30,"🔴 Vérifier dépôt ANEF + obtenir récépissé sous 8 jours.",IF(H31&lt;TODAY()+60,"🟠 Déposer la demande sur ANEF maintenant (limite R. 431-5).",IF(H31&lt;TODAY()+90,"🟡 Préparer le dossier — convocation salarié sous 15 jours.","🟢 Aucune action immédiate. Réviser au prochain T-90.")))))</f>
        <v/>
      </c>
      <c r="R31" s="28"/>
    </row>
    <row r="32" customFormat="false" ht="30" hidden="false" customHeight="true" outlineLevel="0" collapsed="false">
      <c r="A32" s="27"/>
      <c r="B32" s="28"/>
      <c r="C32" s="28"/>
      <c r="D32" s="28"/>
      <c r="E32" s="28"/>
      <c r="F32" s="28"/>
      <c r="G32" s="28"/>
      <c r="H32" s="29"/>
      <c r="I32" s="30" t="str">
        <f aca="true">IF(H32="","",H32-TODAY())</f>
        <v/>
      </c>
      <c r="J32" s="31" t="str">
        <f aca="true">IF(H32="","",IF(H32&lt;TODAY(),"EXPIRÉ",IF(H32&lt;TODAY()+30,"CRITIQUE",IF(H32&lt;TODAY()+60,"URGENT",IF(H32&lt;TODAY()+90,"À LANCER","OK")))))</f>
        <v/>
      </c>
      <c r="K32" s="32" t="str">
        <f aca="true">IF(H32="","",IF(H32&lt;TODAY(),1,IF(H32&lt;TODAY()+30,2,IF(H32&lt;TODAY()+60,3,IF(H32&lt;TODAY()+90,4,5)))))</f>
        <v/>
      </c>
      <c r="L32" s="29"/>
      <c r="M32" s="29"/>
      <c r="N32" s="29"/>
      <c r="O32" s="29"/>
      <c r="P32" s="28"/>
      <c r="Q32" s="28" t="str">
        <f aca="true">IF(H32="","",IF(H32&lt;TODAY(),"⛔ Cesser immédiatement l'emploi. Saisir préfecture en urgence.",IF(H32&lt;TODAY()+30,"🔴 Vérifier dépôt ANEF + obtenir récépissé sous 8 jours.",IF(H32&lt;TODAY()+60,"🟠 Déposer la demande sur ANEF maintenant (limite R. 431-5).",IF(H32&lt;TODAY()+90,"🟡 Préparer le dossier — convocation salarié sous 15 jours.","🟢 Aucune action immédiate. Réviser au prochain T-90.")))))</f>
        <v/>
      </c>
      <c r="R32" s="28"/>
    </row>
    <row r="33" customFormat="false" ht="30" hidden="false" customHeight="true" outlineLevel="0" collapsed="false">
      <c r="A33" s="27"/>
      <c r="B33" s="28"/>
      <c r="C33" s="28"/>
      <c r="D33" s="28"/>
      <c r="E33" s="28"/>
      <c r="F33" s="28"/>
      <c r="G33" s="28"/>
      <c r="H33" s="29"/>
      <c r="I33" s="30" t="str">
        <f aca="true">IF(H33="","",H33-TODAY())</f>
        <v/>
      </c>
      <c r="J33" s="31" t="str">
        <f aca="true">IF(H33="","",IF(H33&lt;TODAY(),"EXPIRÉ",IF(H33&lt;TODAY()+30,"CRITIQUE",IF(H33&lt;TODAY()+60,"URGENT",IF(H33&lt;TODAY()+90,"À LANCER","OK")))))</f>
        <v/>
      </c>
      <c r="K33" s="32" t="str">
        <f aca="true">IF(H33="","",IF(H33&lt;TODAY(),1,IF(H33&lt;TODAY()+30,2,IF(H33&lt;TODAY()+60,3,IF(H33&lt;TODAY()+90,4,5)))))</f>
        <v/>
      </c>
      <c r="L33" s="29"/>
      <c r="M33" s="29"/>
      <c r="N33" s="29"/>
      <c r="O33" s="29"/>
      <c r="P33" s="28"/>
      <c r="Q33" s="28" t="str">
        <f aca="true">IF(H33="","",IF(H33&lt;TODAY(),"⛔ Cesser immédiatement l'emploi. Saisir préfecture en urgence.",IF(H33&lt;TODAY()+30,"🔴 Vérifier dépôt ANEF + obtenir récépissé sous 8 jours.",IF(H33&lt;TODAY()+60,"🟠 Déposer la demande sur ANEF maintenant (limite R. 431-5).",IF(H33&lt;TODAY()+90,"🟡 Préparer le dossier — convocation salarié sous 15 jours.","🟢 Aucune action immédiate. Réviser au prochain T-90.")))))</f>
        <v/>
      </c>
      <c r="R33" s="28"/>
    </row>
    <row r="34" customFormat="false" ht="30" hidden="false" customHeight="true" outlineLevel="0" collapsed="false">
      <c r="A34" s="27"/>
      <c r="B34" s="28"/>
      <c r="C34" s="28"/>
      <c r="D34" s="28"/>
      <c r="E34" s="28"/>
      <c r="F34" s="28"/>
      <c r="G34" s="28"/>
      <c r="H34" s="29"/>
      <c r="I34" s="30" t="str">
        <f aca="true">IF(H34="","",H34-TODAY())</f>
        <v/>
      </c>
      <c r="J34" s="31" t="str">
        <f aca="true">IF(H34="","",IF(H34&lt;TODAY(),"EXPIRÉ",IF(H34&lt;TODAY()+30,"CRITIQUE",IF(H34&lt;TODAY()+60,"URGENT",IF(H34&lt;TODAY()+90,"À LANCER","OK")))))</f>
        <v/>
      </c>
      <c r="K34" s="32" t="str">
        <f aca="true">IF(H34="","",IF(H34&lt;TODAY(),1,IF(H34&lt;TODAY()+30,2,IF(H34&lt;TODAY()+60,3,IF(H34&lt;TODAY()+90,4,5)))))</f>
        <v/>
      </c>
      <c r="L34" s="29"/>
      <c r="M34" s="29"/>
      <c r="N34" s="29"/>
      <c r="O34" s="29"/>
      <c r="P34" s="28"/>
      <c r="Q34" s="28" t="str">
        <f aca="true">IF(H34="","",IF(H34&lt;TODAY(),"⛔ Cesser immédiatement l'emploi. Saisir préfecture en urgence.",IF(H34&lt;TODAY()+30,"🔴 Vérifier dépôt ANEF + obtenir récépissé sous 8 jours.",IF(H34&lt;TODAY()+60,"🟠 Déposer la demande sur ANEF maintenant (limite R. 431-5).",IF(H34&lt;TODAY()+90,"🟡 Préparer le dossier — convocation salarié sous 15 jours.","🟢 Aucune action immédiate. Réviser au prochain T-90.")))))</f>
        <v/>
      </c>
      <c r="R34" s="28"/>
    </row>
    <row r="35" customFormat="false" ht="30" hidden="false" customHeight="true" outlineLevel="0" collapsed="false">
      <c r="A35" s="27"/>
      <c r="B35" s="28"/>
      <c r="C35" s="28"/>
      <c r="D35" s="28"/>
      <c r="E35" s="28"/>
      <c r="F35" s="28"/>
      <c r="G35" s="28"/>
      <c r="H35" s="29"/>
      <c r="I35" s="30" t="str">
        <f aca="true">IF(H35="","",H35-TODAY())</f>
        <v/>
      </c>
      <c r="J35" s="31" t="str">
        <f aca="true">IF(H35="","",IF(H35&lt;TODAY(),"EXPIRÉ",IF(H35&lt;TODAY()+30,"CRITIQUE",IF(H35&lt;TODAY()+60,"URGENT",IF(H35&lt;TODAY()+90,"À LANCER","OK")))))</f>
        <v/>
      </c>
      <c r="K35" s="32" t="str">
        <f aca="true">IF(H35="","",IF(H35&lt;TODAY(),1,IF(H35&lt;TODAY()+30,2,IF(H35&lt;TODAY()+60,3,IF(H35&lt;TODAY()+90,4,5)))))</f>
        <v/>
      </c>
      <c r="L35" s="29"/>
      <c r="M35" s="29"/>
      <c r="N35" s="29"/>
      <c r="O35" s="29"/>
      <c r="P35" s="28"/>
      <c r="Q35" s="28" t="str">
        <f aca="true">IF(H35="","",IF(H35&lt;TODAY(),"⛔ Cesser immédiatement l'emploi. Saisir préfecture en urgence.",IF(H35&lt;TODAY()+30,"🔴 Vérifier dépôt ANEF + obtenir récépissé sous 8 jours.",IF(H35&lt;TODAY()+60,"🟠 Déposer la demande sur ANEF maintenant (limite R. 431-5).",IF(H35&lt;TODAY()+90,"🟡 Préparer le dossier — convocation salarié sous 15 jours.","🟢 Aucune action immédiate. Réviser au prochain T-90.")))))</f>
        <v/>
      </c>
      <c r="R35" s="28"/>
    </row>
    <row r="36" customFormat="false" ht="30" hidden="false" customHeight="true" outlineLevel="0" collapsed="false">
      <c r="A36" s="27"/>
      <c r="B36" s="28"/>
      <c r="C36" s="28"/>
      <c r="D36" s="28"/>
      <c r="E36" s="28"/>
      <c r="F36" s="28"/>
      <c r="G36" s="28"/>
      <c r="H36" s="29"/>
      <c r="I36" s="30" t="str">
        <f aca="true">IF(H36="","",H36-TODAY())</f>
        <v/>
      </c>
      <c r="J36" s="31" t="str">
        <f aca="true">IF(H36="","",IF(H36&lt;TODAY(),"EXPIRÉ",IF(H36&lt;TODAY()+30,"CRITIQUE",IF(H36&lt;TODAY()+60,"URGENT",IF(H36&lt;TODAY()+90,"À LANCER","OK")))))</f>
        <v/>
      </c>
      <c r="K36" s="32" t="str">
        <f aca="true">IF(H36="","",IF(H36&lt;TODAY(),1,IF(H36&lt;TODAY()+30,2,IF(H36&lt;TODAY()+60,3,IF(H36&lt;TODAY()+90,4,5)))))</f>
        <v/>
      </c>
      <c r="L36" s="29"/>
      <c r="M36" s="29"/>
      <c r="N36" s="29"/>
      <c r="O36" s="29"/>
      <c r="P36" s="28"/>
      <c r="Q36" s="28" t="str">
        <f aca="true">IF(H36="","",IF(H36&lt;TODAY(),"⛔ Cesser immédiatement l'emploi. Saisir préfecture en urgence.",IF(H36&lt;TODAY()+30,"🔴 Vérifier dépôt ANEF + obtenir récépissé sous 8 jours.",IF(H36&lt;TODAY()+60,"🟠 Déposer la demande sur ANEF maintenant (limite R. 431-5).",IF(H36&lt;TODAY()+90,"🟡 Préparer le dossier — convocation salarié sous 15 jours.","🟢 Aucune action immédiate. Réviser au prochain T-90.")))))</f>
        <v/>
      </c>
      <c r="R36" s="28"/>
    </row>
    <row r="37" customFormat="false" ht="30" hidden="false" customHeight="true" outlineLevel="0" collapsed="false">
      <c r="A37" s="27"/>
      <c r="B37" s="28"/>
      <c r="C37" s="28"/>
      <c r="D37" s="28"/>
      <c r="E37" s="28"/>
      <c r="F37" s="28"/>
      <c r="G37" s="28"/>
      <c r="H37" s="29"/>
      <c r="I37" s="30" t="str">
        <f aca="true">IF(H37="","",H37-TODAY())</f>
        <v/>
      </c>
      <c r="J37" s="31" t="str">
        <f aca="true">IF(H37="","",IF(H37&lt;TODAY(),"EXPIRÉ",IF(H37&lt;TODAY()+30,"CRITIQUE",IF(H37&lt;TODAY()+60,"URGENT",IF(H37&lt;TODAY()+90,"À LANCER","OK")))))</f>
        <v/>
      </c>
      <c r="K37" s="32" t="str">
        <f aca="true">IF(H37="","",IF(H37&lt;TODAY(),1,IF(H37&lt;TODAY()+30,2,IF(H37&lt;TODAY()+60,3,IF(H37&lt;TODAY()+90,4,5)))))</f>
        <v/>
      </c>
      <c r="L37" s="29"/>
      <c r="M37" s="29"/>
      <c r="N37" s="29"/>
      <c r="O37" s="29"/>
      <c r="P37" s="28"/>
      <c r="Q37" s="28" t="str">
        <f aca="true">IF(H37="","",IF(H37&lt;TODAY(),"⛔ Cesser immédiatement l'emploi. Saisir préfecture en urgence.",IF(H37&lt;TODAY()+30,"🔴 Vérifier dépôt ANEF + obtenir récépissé sous 8 jours.",IF(H37&lt;TODAY()+60,"🟠 Déposer la demande sur ANEF maintenant (limite R. 431-5).",IF(H37&lt;TODAY()+90,"🟡 Préparer le dossier — convocation salarié sous 15 jours.","🟢 Aucune action immédiate. Réviser au prochain T-90.")))))</f>
        <v/>
      </c>
      <c r="R37" s="28"/>
    </row>
    <row r="38" customFormat="false" ht="30" hidden="false" customHeight="true" outlineLevel="0" collapsed="false">
      <c r="A38" s="27"/>
      <c r="B38" s="28"/>
      <c r="C38" s="28"/>
      <c r="D38" s="28"/>
      <c r="E38" s="28"/>
      <c r="F38" s="28"/>
      <c r="G38" s="28"/>
      <c r="H38" s="29"/>
      <c r="I38" s="30" t="str">
        <f aca="true">IF(H38="","",H38-TODAY())</f>
        <v/>
      </c>
      <c r="J38" s="31" t="str">
        <f aca="true">IF(H38="","",IF(H38&lt;TODAY(),"EXPIRÉ",IF(H38&lt;TODAY()+30,"CRITIQUE",IF(H38&lt;TODAY()+60,"URGENT",IF(H38&lt;TODAY()+90,"À LANCER","OK")))))</f>
        <v/>
      </c>
      <c r="K38" s="32" t="str">
        <f aca="true">IF(H38="","",IF(H38&lt;TODAY(),1,IF(H38&lt;TODAY()+30,2,IF(H38&lt;TODAY()+60,3,IF(H38&lt;TODAY()+90,4,5)))))</f>
        <v/>
      </c>
      <c r="L38" s="29"/>
      <c r="M38" s="29"/>
      <c r="N38" s="29"/>
      <c r="O38" s="29"/>
      <c r="P38" s="28"/>
      <c r="Q38" s="28" t="str">
        <f aca="true">IF(H38="","",IF(H38&lt;TODAY(),"⛔ Cesser immédiatement l'emploi. Saisir préfecture en urgence.",IF(H38&lt;TODAY()+30,"🔴 Vérifier dépôt ANEF + obtenir récépissé sous 8 jours.",IF(H38&lt;TODAY()+60,"🟠 Déposer la demande sur ANEF maintenant (limite R. 431-5).",IF(H38&lt;TODAY()+90,"🟡 Préparer le dossier — convocation salarié sous 15 jours.","🟢 Aucune action immédiate. Réviser au prochain T-90.")))))</f>
        <v/>
      </c>
      <c r="R38" s="28"/>
    </row>
    <row r="39" customFormat="false" ht="30" hidden="false" customHeight="true" outlineLevel="0" collapsed="false">
      <c r="A39" s="27"/>
      <c r="B39" s="28"/>
      <c r="C39" s="28"/>
      <c r="D39" s="28"/>
      <c r="E39" s="28"/>
      <c r="F39" s="28"/>
      <c r="G39" s="28"/>
      <c r="H39" s="29"/>
      <c r="I39" s="30" t="str">
        <f aca="true">IF(H39="","",H39-TODAY())</f>
        <v/>
      </c>
      <c r="J39" s="31" t="str">
        <f aca="true">IF(H39="","",IF(H39&lt;TODAY(),"EXPIRÉ",IF(H39&lt;TODAY()+30,"CRITIQUE",IF(H39&lt;TODAY()+60,"URGENT",IF(H39&lt;TODAY()+90,"À LANCER","OK")))))</f>
        <v/>
      </c>
      <c r="K39" s="32" t="str">
        <f aca="true">IF(H39="","",IF(H39&lt;TODAY(),1,IF(H39&lt;TODAY()+30,2,IF(H39&lt;TODAY()+60,3,IF(H39&lt;TODAY()+90,4,5)))))</f>
        <v/>
      </c>
      <c r="L39" s="29"/>
      <c r="M39" s="29"/>
      <c r="N39" s="29"/>
      <c r="O39" s="29"/>
      <c r="P39" s="28"/>
      <c r="Q39" s="28" t="str">
        <f aca="true">IF(H39="","",IF(H39&lt;TODAY(),"⛔ Cesser immédiatement l'emploi. Saisir préfecture en urgence.",IF(H39&lt;TODAY()+30,"🔴 Vérifier dépôt ANEF + obtenir récépissé sous 8 jours.",IF(H39&lt;TODAY()+60,"🟠 Déposer la demande sur ANEF maintenant (limite R. 431-5).",IF(H39&lt;TODAY()+90,"🟡 Préparer le dossier — convocation salarié sous 15 jours.","🟢 Aucune action immédiate. Réviser au prochain T-90.")))))</f>
        <v/>
      </c>
      <c r="R39" s="28"/>
    </row>
    <row r="40" customFormat="false" ht="30" hidden="false" customHeight="true" outlineLevel="0" collapsed="false">
      <c r="A40" s="27"/>
      <c r="B40" s="28"/>
      <c r="C40" s="28"/>
      <c r="D40" s="28"/>
      <c r="E40" s="28"/>
      <c r="F40" s="28"/>
      <c r="G40" s="28"/>
      <c r="H40" s="29"/>
      <c r="I40" s="30" t="str">
        <f aca="true">IF(H40="","",H40-TODAY())</f>
        <v/>
      </c>
      <c r="J40" s="31" t="str">
        <f aca="true">IF(H40="","",IF(H40&lt;TODAY(),"EXPIRÉ",IF(H40&lt;TODAY()+30,"CRITIQUE",IF(H40&lt;TODAY()+60,"URGENT",IF(H40&lt;TODAY()+90,"À LANCER","OK")))))</f>
        <v/>
      </c>
      <c r="K40" s="32" t="str">
        <f aca="true">IF(H40="","",IF(H40&lt;TODAY(),1,IF(H40&lt;TODAY()+30,2,IF(H40&lt;TODAY()+60,3,IF(H40&lt;TODAY()+90,4,5)))))</f>
        <v/>
      </c>
      <c r="L40" s="29"/>
      <c r="M40" s="29"/>
      <c r="N40" s="29"/>
      <c r="O40" s="29"/>
      <c r="P40" s="28"/>
      <c r="Q40" s="28" t="str">
        <f aca="true">IF(H40="","",IF(H40&lt;TODAY(),"⛔ Cesser immédiatement l'emploi. Saisir préfecture en urgence.",IF(H40&lt;TODAY()+30,"🔴 Vérifier dépôt ANEF + obtenir récépissé sous 8 jours.",IF(H40&lt;TODAY()+60,"🟠 Déposer la demande sur ANEF maintenant (limite R. 431-5).",IF(H40&lt;TODAY()+90,"🟡 Préparer le dossier — convocation salarié sous 15 jours.","🟢 Aucune action immédiate. Réviser au prochain T-90.")))))</f>
        <v/>
      </c>
      <c r="R40" s="28"/>
    </row>
    <row r="41" customFormat="false" ht="30" hidden="false" customHeight="true" outlineLevel="0" collapsed="false">
      <c r="A41" s="27"/>
      <c r="B41" s="28"/>
      <c r="C41" s="28"/>
      <c r="D41" s="28"/>
      <c r="E41" s="28"/>
      <c r="F41" s="28"/>
      <c r="G41" s="28"/>
      <c r="H41" s="29"/>
      <c r="I41" s="30" t="str">
        <f aca="true">IF(H41="","",H41-TODAY())</f>
        <v/>
      </c>
      <c r="J41" s="31" t="str">
        <f aca="true">IF(H41="","",IF(H41&lt;TODAY(),"EXPIRÉ",IF(H41&lt;TODAY()+30,"CRITIQUE",IF(H41&lt;TODAY()+60,"URGENT",IF(H41&lt;TODAY()+90,"À LANCER","OK")))))</f>
        <v/>
      </c>
      <c r="K41" s="32" t="str">
        <f aca="true">IF(H41="","",IF(H41&lt;TODAY(),1,IF(H41&lt;TODAY()+30,2,IF(H41&lt;TODAY()+60,3,IF(H41&lt;TODAY()+90,4,5)))))</f>
        <v/>
      </c>
      <c r="L41" s="29"/>
      <c r="M41" s="29"/>
      <c r="N41" s="29"/>
      <c r="O41" s="29"/>
      <c r="P41" s="28"/>
      <c r="Q41" s="28" t="str">
        <f aca="true">IF(H41="","",IF(H41&lt;TODAY(),"⛔ Cesser immédiatement l'emploi. Saisir préfecture en urgence.",IF(H41&lt;TODAY()+30,"🔴 Vérifier dépôt ANEF + obtenir récépissé sous 8 jours.",IF(H41&lt;TODAY()+60,"🟠 Déposer la demande sur ANEF maintenant (limite R. 431-5).",IF(H41&lt;TODAY()+90,"🟡 Préparer le dossier — convocation salarié sous 15 jours.","🟢 Aucune action immédiate. Réviser au prochain T-90.")))))</f>
        <v/>
      </c>
      <c r="R41" s="28"/>
    </row>
    <row r="42" customFormat="false" ht="30" hidden="false" customHeight="true" outlineLevel="0" collapsed="false">
      <c r="A42" s="27"/>
      <c r="B42" s="28"/>
      <c r="C42" s="28"/>
      <c r="D42" s="28"/>
      <c r="E42" s="28"/>
      <c r="F42" s="28"/>
      <c r="G42" s="28"/>
      <c r="H42" s="29"/>
      <c r="I42" s="30" t="str">
        <f aca="true">IF(H42="","",H42-TODAY())</f>
        <v/>
      </c>
      <c r="J42" s="31" t="str">
        <f aca="true">IF(H42="","",IF(H42&lt;TODAY(),"EXPIRÉ",IF(H42&lt;TODAY()+30,"CRITIQUE",IF(H42&lt;TODAY()+60,"URGENT",IF(H42&lt;TODAY()+90,"À LANCER","OK")))))</f>
        <v/>
      </c>
      <c r="K42" s="32" t="str">
        <f aca="true">IF(H42="","",IF(H42&lt;TODAY(),1,IF(H42&lt;TODAY()+30,2,IF(H42&lt;TODAY()+60,3,IF(H42&lt;TODAY()+90,4,5)))))</f>
        <v/>
      </c>
      <c r="L42" s="29"/>
      <c r="M42" s="29"/>
      <c r="N42" s="29"/>
      <c r="O42" s="29"/>
      <c r="P42" s="28"/>
      <c r="Q42" s="28" t="str">
        <f aca="true">IF(H42="","",IF(H42&lt;TODAY(),"⛔ Cesser immédiatement l'emploi. Saisir préfecture en urgence.",IF(H42&lt;TODAY()+30,"🔴 Vérifier dépôt ANEF + obtenir récépissé sous 8 jours.",IF(H42&lt;TODAY()+60,"🟠 Déposer la demande sur ANEF maintenant (limite R. 431-5).",IF(H42&lt;TODAY()+90,"🟡 Préparer le dossier — convocation salarié sous 15 jours.","🟢 Aucune action immédiate. Réviser au prochain T-90.")))))</f>
        <v/>
      </c>
      <c r="R42" s="28"/>
    </row>
    <row r="43" customFormat="false" ht="30" hidden="false" customHeight="true" outlineLevel="0" collapsed="false">
      <c r="A43" s="27"/>
      <c r="B43" s="28"/>
      <c r="C43" s="28"/>
      <c r="D43" s="28"/>
      <c r="E43" s="28"/>
      <c r="F43" s="28"/>
      <c r="G43" s="28"/>
      <c r="H43" s="29"/>
      <c r="I43" s="30" t="str">
        <f aca="true">IF(H43="","",H43-TODAY())</f>
        <v/>
      </c>
      <c r="J43" s="31" t="str">
        <f aca="true">IF(H43="","",IF(H43&lt;TODAY(),"EXPIRÉ",IF(H43&lt;TODAY()+30,"CRITIQUE",IF(H43&lt;TODAY()+60,"URGENT",IF(H43&lt;TODAY()+90,"À LANCER","OK")))))</f>
        <v/>
      </c>
      <c r="K43" s="32" t="str">
        <f aca="true">IF(H43="","",IF(H43&lt;TODAY(),1,IF(H43&lt;TODAY()+30,2,IF(H43&lt;TODAY()+60,3,IF(H43&lt;TODAY()+90,4,5)))))</f>
        <v/>
      </c>
      <c r="L43" s="29"/>
      <c r="M43" s="29"/>
      <c r="N43" s="29"/>
      <c r="O43" s="29"/>
      <c r="P43" s="28"/>
      <c r="Q43" s="28" t="str">
        <f aca="true">IF(H43="","",IF(H43&lt;TODAY(),"⛔ Cesser immédiatement l'emploi. Saisir préfecture en urgence.",IF(H43&lt;TODAY()+30,"🔴 Vérifier dépôt ANEF + obtenir récépissé sous 8 jours.",IF(H43&lt;TODAY()+60,"🟠 Déposer la demande sur ANEF maintenant (limite R. 431-5).",IF(H43&lt;TODAY()+90,"🟡 Préparer le dossier — convocation salarié sous 15 jours.","🟢 Aucune action immédiate. Réviser au prochain T-90.")))))</f>
        <v/>
      </c>
      <c r="R43" s="28"/>
    </row>
    <row r="44" customFormat="false" ht="30" hidden="false" customHeight="true" outlineLevel="0" collapsed="false">
      <c r="A44" s="27"/>
      <c r="B44" s="28"/>
      <c r="C44" s="28"/>
      <c r="D44" s="28"/>
      <c r="E44" s="28"/>
      <c r="F44" s="28"/>
      <c r="G44" s="28"/>
      <c r="H44" s="29"/>
      <c r="I44" s="30" t="str">
        <f aca="true">IF(H44="","",H44-TODAY())</f>
        <v/>
      </c>
      <c r="J44" s="31" t="str">
        <f aca="true">IF(H44="","",IF(H44&lt;TODAY(),"EXPIRÉ",IF(H44&lt;TODAY()+30,"CRITIQUE",IF(H44&lt;TODAY()+60,"URGENT",IF(H44&lt;TODAY()+90,"À LANCER","OK")))))</f>
        <v/>
      </c>
      <c r="K44" s="32" t="str">
        <f aca="true">IF(H44="","",IF(H44&lt;TODAY(),1,IF(H44&lt;TODAY()+30,2,IF(H44&lt;TODAY()+60,3,IF(H44&lt;TODAY()+90,4,5)))))</f>
        <v/>
      </c>
      <c r="L44" s="29"/>
      <c r="M44" s="29"/>
      <c r="N44" s="29"/>
      <c r="O44" s="29"/>
      <c r="P44" s="28"/>
      <c r="Q44" s="28" t="str">
        <f aca="true">IF(H44="","",IF(H44&lt;TODAY(),"⛔ Cesser immédiatement l'emploi. Saisir préfecture en urgence.",IF(H44&lt;TODAY()+30,"🔴 Vérifier dépôt ANEF + obtenir récépissé sous 8 jours.",IF(H44&lt;TODAY()+60,"🟠 Déposer la demande sur ANEF maintenant (limite R. 431-5).",IF(H44&lt;TODAY()+90,"🟡 Préparer le dossier — convocation salarié sous 15 jours.","🟢 Aucune action immédiate. Réviser au prochain T-90.")))))</f>
        <v/>
      </c>
      <c r="R44" s="28"/>
    </row>
    <row r="45" customFormat="false" ht="30" hidden="false" customHeight="true" outlineLevel="0" collapsed="false">
      <c r="A45" s="27"/>
      <c r="B45" s="28"/>
      <c r="C45" s="28"/>
      <c r="D45" s="28"/>
      <c r="E45" s="28"/>
      <c r="F45" s="28"/>
      <c r="G45" s="28"/>
      <c r="H45" s="29"/>
      <c r="I45" s="30" t="str">
        <f aca="true">IF(H45="","",H45-TODAY())</f>
        <v/>
      </c>
      <c r="J45" s="31" t="str">
        <f aca="true">IF(H45="","",IF(H45&lt;TODAY(),"EXPIRÉ",IF(H45&lt;TODAY()+30,"CRITIQUE",IF(H45&lt;TODAY()+60,"URGENT",IF(H45&lt;TODAY()+90,"À LANCER","OK")))))</f>
        <v/>
      </c>
      <c r="K45" s="32" t="str">
        <f aca="true">IF(H45="","",IF(H45&lt;TODAY(),1,IF(H45&lt;TODAY()+30,2,IF(H45&lt;TODAY()+60,3,IF(H45&lt;TODAY()+90,4,5)))))</f>
        <v/>
      </c>
      <c r="L45" s="29"/>
      <c r="M45" s="29"/>
      <c r="N45" s="29"/>
      <c r="O45" s="29"/>
      <c r="P45" s="28"/>
      <c r="Q45" s="28" t="str">
        <f aca="true">IF(H45="","",IF(H45&lt;TODAY(),"⛔ Cesser immédiatement l'emploi. Saisir préfecture en urgence.",IF(H45&lt;TODAY()+30,"🔴 Vérifier dépôt ANEF + obtenir récépissé sous 8 jours.",IF(H45&lt;TODAY()+60,"🟠 Déposer la demande sur ANEF maintenant (limite R. 431-5).",IF(H45&lt;TODAY()+90,"🟡 Préparer le dossier — convocation salarié sous 15 jours.","🟢 Aucune action immédiate. Réviser au prochain T-90.")))))</f>
        <v/>
      </c>
      <c r="R45" s="28"/>
    </row>
    <row r="46" customFormat="false" ht="30" hidden="false" customHeight="true" outlineLevel="0" collapsed="false">
      <c r="A46" s="27"/>
      <c r="B46" s="28"/>
      <c r="C46" s="28"/>
      <c r="D46" s="28"/>
      <c r="E46" s="28"/>
      <c r="F46" s="28"/>
      <c r="G46" s="28"/>
      <c r="H46" s="29"/>
      <c r="I46" s="30" t="str">
        <f aca="true">IF(H46="","",H46-TODAY())</f>
        <v/>
      </c>
      <c r="J46" s="31" t="str">
        <f aca="true">IF(H46="","",IF(H46&lt;TODAY(),"EXPIRÉ",IF(H46&lt;TODAY()+30,"CRITIQUE",IF(H46&lt;TODAY()+60,"URGENT",IF(H46&lt;TODAY()+90,"À LANCER","OK")))))</f>
        <v/>
      </c>
      <c r="K46" s="32" t="str">
        <f aca="true">IF(H46="","",IF(H46&lt;TODAY(),1,IF(H46&lt;TODAY()+30,2,IF(H46&lt;TODAY()+60,3,IF(H46&lt;TODAY()+90,4,5)))))</f>
        <v/>
      </c>
      <c r="L46" s="29"/>
      <c r="M46" s="29"/>
      <c r="N46" s="29"/>
      <c r="O46" s="29"/>
      <c r="P46" s="28"/>
      <c r="Q46" s="28" t="str">
        <f aca="true">IF(H46="","",IF(H46&lt;TODAY(),"⛔ Cesser immédiatement l'emploi. Saisir préfecture en urgence.",IF(H46&lt;TODAY()+30,"🔴 Vérifier dépôt ANEF + obtenir récépissé sous 8 jours.",IF(H46&lt;TODAY()+60,"🟠 Déposer la demande sur ANEF maintenant (limite R. 431-5).",IF(H46&lt;TODAY()+90,"🟡 Préparer le dossier — convocation salarié sous 15 jours.","🟢 Aucune action immédiate. Réviser au prochain T-90.")))))</f>
        <v/>
      </c>
      <c r="R46" s="28"/>
    </row>
    <row r="47" customFormat="false" ht="30" hidden="false" customHeight="true" outlineLevel="0" collapsed="false">
      <c r="A47" s="27"/>
      <c r="B47" s="28"/>
      <c r="C47" s="28"/>
      <c r="D47" s="28"/>
      <c r="E47" s="28"/>
      <c r="F47" s="28"/>
      <c r="G47" s="28"/>
      <c r="H47" s="29"/>
      <c r="I47" s="30" t="str">
        <f aca="true">IF(H47="","",H47-TODAY())</f>
        <v/>
      </c>
      <c r="J47" s="31" t="str">
        <f aca="true">IF(H47="","",IF(H47&lt;TODAY(),"EXPIRÉ",IF(H47&lt;TODAY()+30,"CRITIQUE",IF(H47&lt;TODAY()+60,"URGENT",IF(H47&lt;TODAY()+90,"À LANCER","OK")))))</f>
        <v/>
      </c>
      <c r="K47" s="32" t="str">
        <f aca="true">IF(H47="","",IF(H47&lt;TODAY(),1,IF(H47&lt;TODAY()+30,2,IF(H47&lt;TODAY()+60,3,IF(H47&lt;TODAY()+90,4,5)))))</f>
        <v/>
      </c>
      <c r="L47" s="29"/>
      <c r="M47" s="29"/>
      <c r="N47" s="29"/>
      <c r="O47" s="29"/>
      <c r="P47" s="28"/>
      <c r="Q47" s="28" t="str">
        <f aca="true">IF(H47="","",IF(H47&lt;TODAY(),"⛔ Cesser immédiatement l'emploi. Saisir préfecture en urgence.",IF(H47&lt;TODAY()+30,"🔴 Vérifier dépôt ANEF + obtenir récépissé sous 8 jours.",IF(H47&lt;TODAY()+60,"🟠 Déposer la demande sur ANEF maintenant (limite R. 431-5).",IF(H47&lt;TODAY()+90,"🟡 Préparer le dossier — convocation salarié sous 15 jours.","🟢 Aucune action immédiate. Réviser au prochain T-90.")))))</f>
        <v/>
      </c>
      <c r="R47" s="28"/>
    </row>
    <row r="48" customFormat="false" ht="30" hidden="false" customHeight="true" outlineLevel="0" collapsed="false">
      <c r="A48" s="27"/>
      <c r="B48" s="28"/>
      <c r="C48" s="28"/>
      <c r="D48" s="28"/>
      <c r="E48" s="28"/>
      <c r="F48" s="28"/>
      <c r="G48" s="28"/>
      <c r="H48" s="29"/>
      <c r="I48" s="30" t="str">
        <f aca="true">IF(H48="","",H48-TODAY())</f>
        <v/>
      </c>
      <c r="J48" s="31" t="str">
        <f aca="true">IF(H48="","",IF(H48&lt;TODAY(),"EXPIRÉ",IF(H48&lt;TODAY()+30,"CRITIQUE",IF(H48&lt;TODAY()+60,"URGENT",IF(H48&lt;TODAY()+90,"À LANCER","OK")))))</f>
        <v/>
      </c>
      <c r="K48" s="32" t="str">
        <f aca="true">IF(H48="","",IF(H48&lt;TODAY(),1,IF(H48&lt;TODAY()+30,2,IF(H48&lt;TODAY()+60,3,IF(H48&lt;TODAY()+90,4,5)))))</f>
        <v/>
      </c>
      <c r="L48" s="29"/>
      <c r="M48" s="29"/>
      <c r="N48" s="29"/>
      <c r="O48" s="29"/>
      <c r="P48" s="28"/>
      <c r="Q48" s="28" t="str">
        <f aca="true">IF(H48="","",IF(H48&lt;TODAY(),"⛔ Cesser immédiatement l'emploi. Saisir préfecture en urgence.",IF(H48&lt;TODAY()+30,"🔴 Vérifier dépôt ANEF + obtenir récépissé sous 8 jours.",IF(H48&lt;TODAY()+60,"🟠 Déposer la demande sur ANEF maintenant (limite R. 431-5).",IF(H48&lt;TODAY()+90,"🟡 Préparer le dossier — convocation salarié sous 15 jours.","🟢 Aucune action immédiate. Réviser au prochain T-90.")))))</f>
        <v/>
      </c>
      <c r="R48" s="28"/>
    </row>
    <row r="49" customFormat="false" ht="30" hidden="false" customHeight="true" outlineLevel="0" collapsed="false">
      <c r="A49" s="27"/>
      <c r="B49" s="28"/>
      <c r="C49" s="28"/>
      <c r="D49" s="28"/>
      <c r="E49" s="28"/>
      <c r="F49" s="28"/>
      <c r="G49" s="28"/>
      <c r="H49" s="29"/>
      <c r="I49" s="30" t="str">
        <f aca="true">IF(H49="","",H49-TODAY())</f>
        <v/>
      </c>
      <c r="J49" s="31" t="str">
        <f aca="true">IF(H49="","",IF(H49&lt;TODAY(),"EXPIRÉ",IF(H49&lt;TODAY()+30,"CRITIQUE",IF(H49&lt;TODAY()+60,"URGENT",IF(H49&lt;TODAY()+90,"À LANCER","OK")))))</f>
        <v/>
      </c>
      <c r="K49" s="32" t="str">
        <f aca="true">IF(H49="","",IF(H49&lt;TODAY(),1,IF(H49&lt;TODAY()+30,2,IF(H49&lt;TODAY()+60,3,IF(H49&lt;TODAY()+90,4,5)))))</f>
        <v/>
      </c>
      <c r="L49" s="29"/>
      <c r="M49" s="29"/>
      <c r="N49" s="29"/>
      <c r="O49" s="29"/>
      <c r="P49" s="28"/>
      <c r="Q49" s="28" t="str">
        <f aca="true">IF(H49="","",IF(H49&lt;TODAY(),"⛔ Cesser immédiatement l'emploi. Saisir préfecture en urgence.",IF(H49&lt;TODAY()+30,"🔴 Vérifier dépôt ANEF + obtenir récépissé sous 8 jours.",IF(H49&lt;TODAY()+60,"🟠 Déposer la demande sur ANEF maintenant (limite R. 431-5).",IF(H49&lt;TODAY()+90,"🟡 Préparer le dossier — convocation salarié sous 15 jours.","🟢 Aucune action immédiate. Réviser au prochain T-90.")))))</f>
        <v/>
      </c>
      <c r="R49" s="28"/>
    </row>
    <row r="50" customFormat="false" ht="30" hidden="false" customHeight="true" outlineLevel="0" collapsed="false">
      <c r="A50" s="27"/>
      <c r="B50" s="28"/>
      <c r="C50" s="28"/>
      <c r="D50" s="28"/>
      <c r="E50" s="28"/>
      <c r="F50" s="28"/>
      <c r="G50" s="28"/>
      <c r="H50" s="29"/>
      <c r="I50" s="30" t="str">
        <f aca="true">IF(H50="","",H50-TODAY())</f>
        <v/>
      </c>
      <c r="J50" s="31" t="str">
        <f aca="true">IF(H50="","",IF(H50&lt;TODAY(),"EXPIRÉ",IF(H50&lt;TODAY()+30,"CRITIQUE",IF(H50&lt;TODAY()+60,"URGENT",IF(H50&lt;TODAY()+90,"À LANCER","OK")))))</f>
        <v/>
      </c>
      <c r="K50" s="32" t="str">
        <f aca="true">IF(H50="","",IF(H50&lt;TODAY(),1,IF(H50&lt;TODAY()+30,2,IF(H50&lt;TODAY()+60,3,IF(H50&lt;TODAY()+90,4,5)))))</f>
        <v/>
      </c>
      <c r="L50" s="29"/>
      <c r="M50" s="29"/>
      <c r="N50" s="29"/>
      <c r="O50" s="29"/>
      <c r="P50" s="28"/>
      <c r="Q50" s="28" t="str">
        <f aca="true">IF(H50="","",IF(H50&lt;TODAY(),"⛔ Cesser immédiatement l'emploi. Saisir préfecture en urgence.",IF(H50&lt;TODAY()+30,"🔴 Vérifier dépôt ANEF + obtenir récépissé sous 8 jours.",IF(H50&lt;TODAY()+60,"🟠 Déposer la demande sur ANEF maintenant (limite R. 431-5).",IF(H50&lt;TODAY()+90,"🟡 Préparer le dossier — convocation salarié sous 15 jours.","🟢 Aucune action immédiate. Réviser au prochain T-90.")))))</f>
        <v/>
      </c>
      <c r="R50" s="28"/>
    </row>
    <row r="51" customFormat="false" ht="30" hidden="false" customHeight="true" outlineLevel="0" collapsed="false">
      <c r="A51" s="27"/>
      <c r="B51" s="28"/>
      <c r="C51" s="28"/>
      <c r="D51" s="28"/>
      <c r="E51" s="28"/>
      <c r="F51" s="28"/>
      <c r="G51" s="28"/>
      <c r="H51" s="29"/>
      <c r="I51" s="30" t="str">
        <f aca="true">IF(H51="","",H51-TODAY())</f>
        <v/>
      </c>
      <c r="J51" s="31" t="str">
        <f aca="true">IF(H51="","",IF(H51&lt;TODAY(),"EXPIRÉ",IF(H51&lt;TODAY()+30,"CRITIQUE",IF(H51&lt;TODAY()+60,"URGENT",IF(H51&lt;TODAY()+90,"À LANCER","OK")))))</f>
        <v/>
      </c>
      <c r="K51" s="32" t="str">
        <f aca="true">IF(H51="","",IF(H51&lt;TODAY(),1,IF(H51&lt;TODAY()+30,2,IF(H51&lt;TODAY()+60,3,IF(H51&lt;TODAY()+90,4,5)))))</f>
        <v/>
      </c>
      <c r="L51" s="29"/>
      <c r="M51" s="29"/>
      <c r="N51" s="29"/>
      <c r="O51" s="29"/>
      <c r="P51" s="28"/>
      <c r="Q51" s="28" t="str">
        <f aca="true">IF(H51="","",IF(H51&lt;TODAY(),"⛔ Cesser immédiatement l'emploi. Saisir préfecture en urgence.",IF(H51&lt;TODAY()+30,"🔴 Vérifier dépôt ANEF + obtenir récépissé sous 8 jours.",IF(H51&lt;TODAY()+60,"🟠 Déposer la demande sur ANEF maintenant (limite R. 431-5).",IF(H51&lt;TODAY()+90,"🟡 Préparer le dossier — convocation salarié sous 15 jours.","🟢 Aucune action immédiate. Réviser au prochain T-90.")))))</f>
        <v/>
      </c>
      <c r="R51" s="28"/>
    </row>
    <row r="52" customFormat="false" ht="30" hidden="false" customHeight="true" outlineLevel="0" collapsed="false">
      <c r="A52" s="27"/>
      <c r="B52" s="28"/>
      <c r="C52" s="28"/>
      <c r="D52" s="28"/>
      <c r="E52" s="28"/>
      <c r="F52" s="28"/>
      <c r="G52" s="28"/>
      <c r="H52" s="29"/>
      <c r="I52" s="30" t="str">
        <f aca="true">IF(H52="","",H52-TODAY())</f>
        <v/>
      </c>
      <c r="J52" s="31" t="str">
        <f aca="true">IF(H52="","",IF(H52&lt;TODAY(),"EXPIRÉ",IF(H52&lt;TODAY()+30,"CRITIQUE",IF(H52&lt;TODAY()+60,"URGENT",IF(H52&lt;TODAY()+90,"À LANCER","OK")))))</f>
        <v/>
      </c>
      <c r="K52" s="32" t="str">
        <f aca="true">IF(H52="","",IF(H52&lt;TODAY(),1,IF(H52&lt;TODAY()+30,2,IF(H52&lt;TODAY()+60,3,IF(H52&lt;TODAY()+90,4,5)))))</f>
        <v/>
      </c>
      <c r="L52" s="29"/>
      <c r="M52" s="29"/>
      <c r="N52" s="29"/>
      <c r="O52" s="29"/>
      <c r="P52" s="28"/>
      <c r="Q52" s="28" t="str">
        <f aca="true">IF(H52="","",IF(H52&lt;TODAY(),"⛔ Cesser immédiatement l'emploi. Saisir préfecture en urgence.",IF(H52&lt;TODAY()+30,"🔴 Vérifier dépôt ANEF + obtenir récépissé sous 8 jours.",IF(H52&lt;TODAY()+60,"🟠 Déposer la demande sur ANEF maintenant (limite R. 431-5).",IF(H52&lt;TODAY()+90,"🟡 Préparer le dossier — convocation salarié sous 15 jours.","🟢 Aucune action immédiate. Réviser au prochain T-90.")))))</f>
        <v/>
      </c>
      <c r="R52" s="28"/>
    </row>
    <row r="53" customFormat="false" ht="30" hidden="false" customHeight="true" outlineLevel="0" collapsed="false">
      <c r="A53" s="27"/>
      <c r="B53" s="28"/>
      <c r="C53" s="28"/>
      <c r="D53" s="28"/>
      <c r="E53" s="28"/>
      <c r="F53" s="28"/>
      <c r="G53" s="28"/>
      <c r="H53" s="29"/>
      <c r="I53" s="30" t="str">
        <f aca="true">IF(H53="","",H53-TODAY())</f>
        <v/>
      </c>
      <c r="J53" s="31" t="str">
        <f aca="true">IF(H53="","",IF(H53&lt;TODAY(),"EXPIRÉ",IF(H53&lt;TODAY()+30,"CRITIQUE",IF(H53&lt;TODAY()+60,"URGENT",IF(H53&lt;TODAY()+90,"À LANCER","OK")))))</f>
        <v/>
      </c>
      <c r="K53" s="32" t="str">
        <f aca="true">IF(H53="","",IF(H53&lt;TODAY(),1,IF(H53&lt;TODAY()+30,2,IF(H53&lt;TODAY()+60,3,IF(H53&lt;TODAY()+90,4,5)))))</f>
        <v/>
      </c>
      <c r="L53" s="29"/>
      <c r="M53" s="29"/>
      <c r="N53" s="29"/>
      <c r="O53" s="29"/>
      <c r="P53" s="28"/>
      <c r="Q53" s="28" t="str">
        <f aca="true">IF(H53="","",IF(H53&lt;TODAY(),"⛔ Cesser immédiatement l'emploi. Saisir préfecture en urgence.",IF(H53&lt;TODAY()+30,"🔴 Vérifier dépôt ANEF + obtenir récépissé sous 8 jours.",IF(H53&lt;TODAY()+60,"🟠 Déposer la demande sur ANEF maintenant (limite R. 431-5).",IF(H53&lt;TODAY()+90,"🟡 Préparer le dossier — convocation salarié sous 15 jours.","🟢 Aucune action immédiate. Réviser au prochain T-90.")))))</f>
        <v/>
      </c>
      <c r="R53" s="28"/>
    </row>
    <row r="54" customFormat="false" ht="30" hidden="false" customHeight="true" outlineLevel="0" collapsed="false">
      <c r="A54" s="27"/>
      <c r="B54" s="28"/>
      <c r="C54" s="28"/>
      <c r="D54" s="28"/>
      <c r="E54" s="28"/>
      <c r="F54" s="28"/>
      <c r="G54" s="28"/>
      <c r="H54" s="29"/>
      <c r="I54" s="30" t="str">
        <f aca="true">IF(H54="","",H54-TODAY())</f>
        <v/>
      </c>
      <c r="J54" s="31" t="str">
        <f aca="true">IF(H54="","",IF(H54&lt;TODAY(),"EXPIRÉ",IF(H54&lt;TODAY()+30,"CRITIQUE",IF(H54&lt;TODAY()+60,"URGENT",IF(H54&lt;TODAY()+90,"À LANCER","OK")))))</f>
        <v/>
      </c>
      <c r="K54" s="32" t="str">
        <f aca="true">IF(H54="","",IF(H54&lt;TODAY(),1,IF(H54&lt;TODAY()+30,2,IF(H54&lt;TODAY()+60,3,IF(H54&lt;TODAY()+90,4,5)))))</f>
        <v/>
      </c>
      <c r="L54" s="29"/>
      <c r="M54" s="29"/>
      <c r="N54" s="29"/>
      <c r="O54" s="29"/>
      <c r="P54" s="28"/>
      <c r="Q54" s="28" t="str">
        <f aca="true">IF(H54="","",IF(H54&lt;TODAY(),"⛔ Cesser immédiatement l'emploi. Saisir préfecture en urgence.",IF(H54&lt;TODAY()+30,"🔴 Vérifier dépôt ANEF + obtenir récépissé sous 8 jours.",IF(H54&lt;TODAY()+60,"🟠 Déposer la demande sur ANEF maintenant (limite R. 431-5).",IF(H54&lt;TODAY()+90,"🟡 Préparer le dossier — convocation salarié sous 15 jours.","🟢 Aucune action immédiate. Réviser au prochain T-90.")))))</f>
        <v/>
      </c>
      <c r="R54" s="28"/>
    </row>
    <row r="55" customFormat="false" ht="30" hidden="false" customHeight="true" outlineLevel="0" collapsed="false">
      <c r="A55" s="27"/>
      <c r="B55" s="28"/>
      <c r="C55" s="28"/>
      <c r="D55" s="28"/>
      <c r="E55" s="28"/>
      <c r="F55" s="28"/>
      <c r="G55" s="28"/>
      <c r="H55" s="29"/>
      <c r="I55" s="30" t="str">
        <f aca="true">IF(H55="","",H55-TODAY())</f>
        <v/>
      </c>
      <c r="J55" s="31" t="str">
        <f aca="true">IF(H55="","",IF(H55&lt;TODAY(),"EXPIRÉ",IF(H55&lt;TODAY()+30,"CRITIQUE",IF(H55&lt;TODAY()+60,"URGENT",IF(H55&lt;TODAY()+90,"À LANCER","OK")))))</f>
        <v/>
      </c>
      <c r="K55" s="32" t="str">
        <f aca="true">IF(H55="","",IF(H55&lt;TODAY(),1,IF(H55&lt;TODAY()+30,2,IF(H55&lt;TODAY()+60,3,IF(H55&lt;TODAY()+90,4,5)))))</f>
        <v/>
      </c>
      <c r="L55" s="29"/>
      <c r="M55" s="29"/>
      <c r="N55" s="29"/>
      <c r="O55" s="29"/>
      <c r="P55" s="28"/>
      <c r="Q55" s="28" t="str">
        <f aca="true">IF(H55="","",IF(H55&lt;TODAY(),"⛔ Cesser immédiatement l'emploi. Saisir préfecture en urgence.",IF(H55&lt;TODAY()+30,"🔴 Vérifier dépôt ANEF + obtenir récépissé sous 8 jours.",IF(H55&lt;TODAY()+60,"🟠 Déposer la demande sur ANEF maintenant (limite R. 431-5).",IF(H55&lt;TODAY()+90,"🟡 Préparer le dossier — convocation salarié sous 15 jours.","🟢 Aucune action immédiate. Réviser au prochain T-90.")))))</f>
        <v/>
      </c>
      <c r="R55" s="28"/>
    </row>
    <row r="56" customFormat="false" ht="30" hidden="false" customHeight="true" outlineLevel="0" collapsed="false">
      <c r="A56" s="27"/>
      <c r="B56" s="28"/>
      <c r="C56" s="28"/>
      <c r="D56" s="28"/>
      <c r="E56" s="28"/>
      <c r="F56" s="28"/>
      <c r="G56" s="28"/>
      <c r="H56" s="29"/>
      <c r="I56" s="30" t="str">
        <f aca="true">IF(H56="","",H56-TODAY())</f>
        <v/>
      </c>
      <c r="J56" s="31" t="str">
        <f aca="true">IF(H56="","",IF(H56&lt;TODAY(),"EXPIRÉ",IF(H56&lt;TODAY()+30,"CRITIQUE",IF(H56&lt;TODAY()+60,"URGENT",IF(H56&lt;TODAY()+90,"À LANCER","OK")))))</f>
        <v/>
      </c>
      <c r="K56" s="32" t="str">
        <f aca="true">IF(H56="","",IF(H56&lt;TODAY(),1,IF(H56&lt;TODAY()+30,2,IF(H56&lt;TODAY()+60,3,IF(H56&lt;TODAY()+90,4,5)))))</f>
        <v/>
      </c>
      <c r="L56" s="29"/>
      <c r="M56" s="29"/>
      <c r="N56" s="29"/>
      <c r="O56" s="29"/>
      <c r="P56" s="28"/>
      <c r="Q56" s="28" t="str">
        <f aca="true">IF(H56="","",IF(H56&lt;TODAY(),"⛔ Cesser immédiatement l'emploi. Saisir préfecture en urgence.",IF(H56&lt;TODAY()+30,"🔴 Vérifier dépôt ANEF + obtenir récépissé sous 8 jours.",IF(H56&lt;TODAY()+60,"🟠 Déposer la demande sur ANEF maintenant (limite R. 431-5).",IF(H56&lt;TODAY()+90,"🟡 Préparer le dossier — convocation salarié sous 15 jours.","🟢 Aucune action immédiate. Réviser au prochain T-90.")))))</f>
        <v/>
      </c>
      <c r="R56" s="28"/>
    </row>
    <row r="57" customFormat="false" ht="30" hidden="false" customHeight="true" outlineLevel="0" collapsed="false">
      <c r="A57" s="27"/>
      <c r="B57" s="28"/>
      <c r="C57" s="28"/>
      <c r="D57" s="28"/>
      <c r="E57" s="28"/>
      <c r="F57" s="28"/>
      <c r="G57" s="28"/>
      <c r="H57" s="29"/>
      <c r="I57" s="30" t="str">
        <f aca="true">IF(H57="","",H57-TODAY())</f>
        <v/>
      </c>
      <c r="J57" s="31" t="str">
        <f aca="true">IF(H57="","",IF(H57&lt;TODAY(),"EXPIRÉ",IF(H57&lt;TODAY()+30,"CRITIQUE",IF(H57&lt;TODAY()+60,"URGENT",IF(H57&lt;TODAY()+90,"À LANCER","OK")))))</f>
        <v/>
      </c>
      <c r="K57" s="32" t="str">
        <f aca="true">IF(H57="","",IF(H57&lt;TODAY(),1,IF(H57&lt;TODAY()+30,2,IF(H57&lt;TODAY()+60,3,IF(H57&lt;TODAY()+90,4,5)))))</f>
        <v/>
      </c>
      <c r="L57" s="29"/>
      <c r="M57" s="29"/>
      <c r="N57" s="29"/>
      <c r="O57" s="29"/>
      <c r="P57" s="28"/>
      <c r="Q57" s="28" t="str">
        <f aca="true">IF(H57="","",IF(H57&lt;TODAY(),"⛔ Cesser immédiatement l'emploi. Saisir préfecture en urgence.",IF(H57&lt;TODAY()+30,"🔴 Vérifier dépôt ANEF + obtenir récépissé sous 8 jours.",IF(H57&lt;TODAY()+60,"🟠 Déposer la demande sur ANEF maintenant (limite R. 431-5).",IF(H57&lt;TODAY()+90,"🟡 Préparer le dossier — convocation salarié sous 15 jours.","🟢 Aucune action immédiate. Réviser au prochain T-90.")))))</f>
        <v/>
      </c>
      <c r="R57" s="28"/>
    </row>
    <row r="58" customFormat="false" ht="30" hidden="false" customHeight="true" outlineLevel="0" collapsed="false">
      <c r="A58" s="27"/>
      <c r="B58" s="28"/>
      <c r="C58" s="28"/>
      <c r="D58" s="28"/>
      <c r="E58" s="28"/>
      <c r="F58" s="28"/>
      <c r="G58" s="28"/>
      <c r="H58" s="29"/>
      <c r="I58" s="30" t="str">
        <f aca="true">IF(H58="","",H58-TODAY())</f>
        <v/>
      </c>
      <c r="J58" s="31" t="str">
        <f aca="true">IF(H58="","",IF(H58&lt;TODAY(),"EXPIRÉ",IF(H58&lt;TODAY()+30,"CRITIQUE",IF(H58&lt;TODAY()+60,"URGENT",IF(H58&lt;TODAY()+90,"À LANCER","OK")))))</f>
        <v/>
      </c>
      <c r="K58" s="32" t="str">
        <f aca="true">IF(H58="","",IF(H58&lt;TODAY(),1,IF(H58&lt;TODAY()+30,2,IF(H58&lt;TODAY()+60,3,IF(H58&lt;TODAY()+90,4,5)))))</f>
        <v/>
      </c>
      <c r="L58" s="29"/>
      <c r="M58" s="29"/>
      <c r="N58" s="29"/>
      <c r="O58" s="29"/>
      <c r="P58" s="28"/>
      <c r="Q58" s="28" t="str">
        <f aca="true">IF(H58="","",IF(H58&lt;TODAY(),"⛔ Cesser immédiatement l'emploi. Saisir préfecture en urgence.",IF(H58&lt;TODAY()+30,"🔴 Vérifier dépôt ANEF + obtenir récépissé sous 8 jours.",IF(H58&lt;TODAY()+60,"🟠 Déposer la demande sur ANEF maintenant (limite R. 431-5).",IF(H58&lt;TODAY()+90,"🟡 Préparer le dossier — convocation salarié sous 15 jours.","🟢 Aucune action immédiate. Réviser au prochain T-90.")))))</f>
        <v/>
      </c>
      <c r="R58" s="28"/>
    </row>
    <row r="59" customFormat="false" ht="30" hidden="false" customHeight="true" outlineLevel="0" collapsed="false">
      <c r="A59" s="27"/>
      <c r="B59" s="28"/>
      <c r="C59" s="28"/>
      <c r="D59" s="28"/>
      <c r="E59" s="28"/>
      <c r="F59" s="28"/>
      <c r="G59" s="28"/>
      <c r="H59" s="29"/>
      <c r="I59" s="30" t="str">
        <f aca="true">IF(H59="","",H59-TODAY())</f>
        <v/>
      </c>
      <c r="J59" s="31" t="str">
        <f aca="true">IF(H59="","",IF(H59&lt;TODAY(),"EXPIRÉ",IF(H59&lt;TODAY()+30,"CRITIQUE",IF(H59&lt;TODAY()+60,"URGENT",IF(H59&lt;TODAY()+90,"À LANCER","OK")))))</f>
        <v/>
      </c>
      <c r="K59" s="32" t="str">
        <f aca="true">IF(H59="","",IF(H59&lt;TODAY(),1,IF(H59&lt;TODAY()+30,2,IF(H59&lt;TODAY()+60,3,IF(H59&lt;TODAY()+90,4,5)))))</f>
        <v/>
      </c>
      <c r="L59" s="29"/>
      <c r="M59" s="29"/>
      <c r="N59" s="29"/>
      <c r="O59" s="29"/>
      <c r="P59" s="28"/>
      <c r="Q59" s="28" t="str">
        <f aca="true">IF(H59="","",IF(H59&lt;TODAY(),"⛔ Cesser immédiatement l'emploi. Saisir préfecture en urgence.",IF(H59&lt;TODAY()+30,"🔴 Vérifier dépôt ANEF + obtenir récépissé sous 8 jours.",IF(H59&lt;TODAY()+60,"🟠 Déposer la demande sur ANEF maintenant (limite R. 431-5).",IF(H59&lt;TODAY()+90,"🟡 Préparer le dossier — convocation salarié sous 15 jours.","🟢 Aucune action immédiate. Réviser au prochain T-90.")))))</f>
        <v/>
      </c>
      <c r="R59" s="28"/>
    </row>
    <row r="60" customFormat="false" ht="30" hidden="false" customHeight="true" outlineLevel="0" collapsed="false">
      <c r="A60" s="27"/>
      <c r="B60" s="28"/>
      <c r="C60" s="28"/>
      <c r="D60" s="28"/>
      <c r="E60" s="28"/>
      <c r="F60" s="28"/>
      <c r="G60" s="28"/>
      <c r="H60" s="29"/>
      <c r="I60" s="30" t="str">
        <f aca="true">IF(H60="","",H60-TODAY())</f>
        <v/>
      </c>
      <c r="J60" s="31" t="str">
        <f aca="true">IF(H60="","",IF(H60&lt;TODAY(),"EXPIRÉ",IF(H60&lt;TODAY()+30,"CRITIQUE",IF(H60&lt;TODAY()+60,"URGENT",IF(H60&lt;TODAY()+90,"À LANCER","OK")))))</f>
        <v/>
      </c>
      <c r="K60" s="32" t="str">
        <f aca="true">IF(H60="","",IF(H60&lt;TODAY(),1,IF(H60&lt;TODAY()+30,2,IF(H60&lt;TODAY()+60,3,IF(H60&lt;TODAY()+90,4,5)))))</f>
        <v/>
      </c>
      <c r="L60" s="29"/>
      <c r="M60" s="29"/>
      <c r="N60" s="29"/>
      <c r="O60" s="29"/>
      <c r="P60" s="28"/>
      <c r="Q60" s="28" t="str">
        <f aca="true">IF(H60="","",IF(H60&lt;TODAY(),"⛔ Cesser immédiatement l'emploi. Saisir préfecture en urgence.",IF(H60&lt;TODAY()+30,"🔴 Vérifier dépôt ANEF + obtenir récépissé sous 8 jours.",IF(H60&lt;TODAY()+60,"🟠 Déposer la demande sur ANEF maintenant (limite R. 431-5).",IF(H60&lt;TODAY()+90,"🟡 Préparer le dossier — convocation salarié sous 15 jours.","🟢 Aucune action immédiate. Réviser au prochain T-90.")))))</f>
        <v/>
      </c>
      <c r="R60" s="28"/>
    </row>
    <row r="61" customFormat="false" ht="30" hidden="false" customHeight="true" outlineLevel="0" collapsed="false">
      <c r="A61" s="27"/>
      <c r="B61" s="28"/>
      <c r="C61" s="28"/>
      <c r="D61" s="28"/>
      <c r="E61" s="28"/>
      <c r="F61" s="28"/>
      <c r="G61" s="28"/>
      <c r="H61" s="29"/>
      <c r="I61" s="30" t="str">
        <f aca="true">IF(H61="","",H61-TODAY())</f>
        <v/>
      </c>
      <c r="J61" s="31" t="str">
        <f aca="true">IF(H61="","",IF(H61&lt;TODAY(),"EXPIRÉ",IF(H61&lt;TODAY()+30,"CRITIQUE",IF(H61&lt;TODAY()+60,"URGENT",IF(H61&lt;TODAY()+90,"À LANCER","OK")))))</f>
        <v/>
      </c>
      <c r="K61" s="32" t="str">
        <f aca="true">IF(H61="","",IF(H61&lt;TODAY(),1,IF(H61&lt;TODAY()+30,2,IF(H61&lt;TODAY()+60,3,IF(H61&lt;TODAY()+90,4,5)))))</f>
        <v/>
      </c>
      <c r="L61" s="29"/>
      <c r="M61" s="29"/>
      <c r="N61" s="29"/>
      <c r="O61" s="29"/>
      <c r="P61" s="28"/>
      <c r="Q61" s="28" t="str">
        <f aca="true">IF(H61="","",IF(H61&lt;TODAY(),"⛔ Cesser immédiatement l'emploi. Saisir préfecture en urgence.",IF(H61&lt;TODAY()+30,"🔴 Vérifier dépôt ANEF + obtenir récépissé sous 8 jours.",IF(H61&lt;TODAY()+60,"🟠 Déposer la demande sur ANEF maintenant (limite R. 431-5).",IF(H61&lt;TODAY()+90,"🟡 Préparer le dossier — convocation salarié sous 15 jours.","🟢 Aucune action immédiate. Réviser au prochain T-90.")))))</f>
        <v/>
      </c>
      <c r="R61" s="28"/>
    </row>
    <row r="62" customFormat="false" ht="30" hidden="false" customHeight="true" outlineLevel="0" collapsed="false">
      <c r="A62" s="27"/>
      <c r="B62" s="28"/>
      <c r="C62" s="28"/>
      <c r="D62" s="28"/>
      <c r="E62" s="28"/>
      <c r="F62" s="28"/>
      <c r="G62" s="28"/>
      <c r="H62" s="29"/>
      <c r="I62" s="30" t="str">
        <f aca="true">IF(H62="","",H62-TODAY())</f>
        <v/>
      </c>
      <c r="J62" s="31" t="str">
        <f aca="true">IF(H62="","",IF(H62&lt;TODAY(),"EXPIRÉ",IF(H62&lt;TODAY()+30,"CRITIQUE",IF(H62&lt;TODAY()+60,"URGENT",IF(H62&lt;TODAY()+90,"À LANCER","OK")))))</f>
        <v/>
      </c>
      <c r="K62" s="32" t="str">
        <f aca="true">IF(H62="","",IF(H62&lt;TODAY(),1,IF(H62&lt;TODAY()+30,2,IF(H62&lt;TODAY()+60,3,IF(H62&lt;TODAY()+90,4,5)))))</f>
        <v/>
      </c>
      <c r="L62" s="29"/>
      <c r="M62" s="29"/>
      <c r="N62" s="29"/>
      <c r="O62" s="29"/>
      <c r="P62" s="28"/>
      <c r="Q62" s="28" t="str">
        <f aca="true">IF(H62="","",IF(H62&lt;TODAY(),"⛔ Cesser immédiatement l'emploi. Saisir préfecture en urgence.",IF(H62&lt;TODAY()+30,"🔴 Vérifier dépôt ANEF + obtenir récépissé sous 8 jours.",IF(H62&lt;TODAY()+60,"🟠 Déposer la demande sur ANEF maintenant (limite R. 431-5).",IF(H62&lt;TODAY()+90,"🟡 Préparer le dossier — convocation salarié sous 15 jours.","🟢 Aucune action immédiate. Réviser au prochain T-90.")))))</f>
        <v/>
      </c>
      <c r="R62" s="28"/>
    </row>
    <row r="63" customFormat="false" ht="30" hidden="false" customHeight="true" outlineLevel="0" collapsed="false">
      <c r="A63" s="27"/>
      <c r="B63" s="28"/>
      <c r="C63" s="28"/>
      <c r="D63" s="28"/>
      <c r="E63" s="28"/>
      <c r="F63" s="28"/>
      <c r="G63" s="28"/>
      <c r="H63" s="29"/>
      <c r="I63" s="30" t="str">
        <f aca="true">IF(H63="","",H63-TODAY())</f>
        <v/>
      </c>
      <c r="J63" s="31" t="str">
        <f aca="true">IF(H63="","",IF(H63&lt;TODAY(),"EXPIRÉ",IF(H63&lt;TODAY()+30,"CRITIQUE",IF(H63&lt;TODAY()+60,"URGENT",IF(H63&lt;TODAY()+90,"À LANCER","OK")))))</f>
        <v/>
      </c>
      <c r="K63" s="32" t="str">
        <f aca="true">IF(H63="","",IF(H63&lt;TODAY(),1,IF(H63&lt;TODAY()+30,2,IF(H63&lt;TODAY()+60,3,IF(H63&lt;TODAY()+90,4,5)))))</f>
        <v/>
      </c>
      <c r="L63" s="29"/>
      <c r="M63" s="29"/>
      <c r="N63" s="29"/>
      <c r="O63" s="29"/>
      <c r="P63" s="28"/>
      <c r="Q63" s="28" t="str">
        <f aca="true">IF(H63="","",IF(H63&lt;TODAY(),"⛔ Cesser immédiatement l'emploi. Saisir préfecture en urgence.",IF(H63&lt;TODAY()+30,"🔴 Vérifier dépôt ANEF + obtenir récépissé sous 8 jours.",IF(H63&lt;TODAY()+60,"🟠 Déposer la demande sur ANEF maintenant (limite R. 431-5).",IF(H63&lt;TODAY()+90,"🟡 Préparer le dossier — convocation salarié sous 15 jours.","🟢 Aucune action immédiate. Réviser au prochain T-90.")))))</f>
        <v/>
      </c>
      <c r="R63" s="28"/>
    </row>
    <row r="64" customFormat="false" ht="30" hidden="false" customHeight="true" outlineLevel="0" collapsed="false">
      <c r="A64" s="27"/>
      <c r="B64" s="28"/>
      <c r="C64" s="28"/>
      <c r="D64" s="28"/>
      <c r="E64" s="28"/>
      <c r="F64" s="28"/>
      <c r="G64" s="28"/>
      <c r="H64" s="29"/>
      <c r="I64" s="30" t="str">
        <f aca="true">IF(H64="","",H64-TODAY())</f>
        <v/>
      </c>
      <c r="J64" s="31" t="str">
        <f aca="true">IF(H64="","",IF(H64&lt;TODAY(),"EXPIRÉ",IF(H64&lt;TODAY()+30,"CRITIQUE",IF(H64&lt;TODAY()+60,"URGENT",IF(H64&lt;TODAY()+90,"À LANCER","OK")))))</f>
        <v/>
      </c>
      <c r="K64" s="32" t="str">
        <f aca="true">IF(H64="","",IF(H64&lt;TODAY(),1,IF(H64&lt;TODAY()+30,2,IF(H64&lt;TODAY()+60,3,IF(H64&lt;TODAY()+90,4,5)))))</f>
        <v/>
      </c>
      <c r="L64" s="29"/>
      <c r="M64" s="29"/>
      <c r="N64" s="29"/>
      <c r="O64" s="29"/>
      <c r="P64" s="28"/>
      <c r="Q64" s="28" t="str">
        <f aca="true">IF(H64="","",IF(H64&lt;TODAY(),"⛔ Cesser immédiatement l'emploi. Saisir préfecture en urgence.",IF(H64&lt;TODAY()+30,"🔴 Vérifier dépôt ANEF + obtenir récépissé sous 8 jours.",IF(H64&lt;TODAY()+60,"🟠 Déposer la demande sur ANEF maintenant (limite R. 431-5).",IF(H64&lt;TODAY()+90,"🟡 Préparer le dossier — convocation salarié sous 15 jours.","🟢 Aucune action immédiate. Réviser au prochain T-90.")))))</f>
        <v/>
      </c>
      <c r="R64" s="28"/>
    </row>
    <row r="65" customFormat="false" ht="30" hidden="false" customHeight="true" outlineLevel="0" collapsed="false">
      <c r="A65" s="27"/>
      <c r="B65" s="28"/>
      <c r="C65" s="28"/>
      <c r="D65" s="28"/>
      <c r="E65" s="28"/>
      <c r="F65" s="28"/>
      <c r="G65" s="28"/>
      <c r="H65" s="29"/>
      <c r="I65" s="30" t="str">
        <f aca="true">IF(H65="","",H65-TODAY())</f>
        <v/>
      </c>
      <c r="J65" s="31" t="str">
        <f aca="true">IF(H65="","",IF(H65&lt;TODAY(),"EXPIRÉ",IF(H65&lt;TODAY()+30,"CRITIQUE",IF(H65&lt;TODAY()+60,"URGENT",IF(H65&lt;TODAY()+90,"À LANCER","OK")))))</f>
        <v/>
      </c>
      <c r="K65" s="32" t="str">
        <f aca="true">IF(H65="","",IF(H65&lt;TODAY(),1,IF(H65&lt;TODAY()+30,2,IF(H65&lt;TODAY()+60,3,IF(H65&lt;TODAY()+90,4,5)))))</f>
        <v/>
      </c>
      <c r="L65" s="29"/>
      <c r="M65" s="29"/>
      <c r="N65" s="29"/>
      <c r="O65" s="29"/>
      <c r="P65" s="28"/>
      <c r="Q65" s="28" t="str">
        <f aca="true">IF(H65="","",IF(H65&lt;TODAY(),"⛔ Cesser immédiatement l'emploi. Saisir préfecture en urgence.",IF(H65&lt;TODAY()+30,"🔴 Vérifier dépôt ANEF + obtenir récépissé sous 8 jours.",IF(H65&lt;TODAY()+60,"🟠 Déposer la demande sur ANEF maintenant (limite R. 431-5).",IF(H65&lt;TODAY()+90,"🟡 Préparer le dossier — convocation salarié sous 15 jours.","🟢 Aucune action immédiate. Réviser au prochain T-90.")))))</f>
        <v/>
      </c>
      <c r="R65" s="28"/>
    </row>
    <row r="66" customFormat="false" ht="30" hidden="false" customHeight="true" outlineLevel="0" collapsed="false">
      <c r="A66" s="27"/>
      <c r="B66" s="28"/>
      <c r="C66" s="28"/>
      <c r="D66" s="28"/>
      <c r="E66" s="28"/>
      <c r="F66" s="28"/>
      <c r="G66" s="28"/>
      <c r="H66" s="29"/>
      <c r="I66" s="30" t="str">
        <f aca="true">IF(H66="","",H66-TODAY())</f>
        <v/>
      </c>
      <c r="J66" s="31" t="str">
        <f aca="true">IF(H66="","",IF(H66&lt;TODAY(),"EXPIRÉ",IF(H66&lt;TODAY()+30,"CRITIQUE",IF(H66&lt;TODAY()+60,"URGENT",IF(H66&lt;TODAY()+90,"À LANCER","OK")))))</f>
        <v/>
      </c>
      <c r="K66" s="32" t="str">
        <f aca="true">IF(H66="","",IF(H66&lt;TODAY(),1,IF(H66&lt;TODAY()+30,2,IF(H66&lt;TODAY()+60,3,IF(H66&lt;TODAY()+90,4,5)))))</f>
        <v/>
      </c>
      <c r="L66" s="29"/>
      <c r="M66" s="29"/>
      <c r="N66" s="29"/>
      <c r="O66" s="29"/>
      <c r="P66" s="28"/>
      <c r="Q66" s="28" t="str">
        <f aca="true">IF(H66="","",IF(H66&lt;TODAY(),"⛔ Cesser immédiatement l'emploi. Saisir préfecture en urgence.",IF(H66&lt;TODAY()+30,"🔴 Vérifier dépôt ANEF + obtenir récépissé sous 8 jours.",IF(H66&lt;TODAY()+60,"🟠 Déposer la demande sur ANEF maintenant (limite R. 431-5).",IF(H66&lt;TODAY()+90,"🟡 Préparer le dossier — convocation salarié sous 15 jours.","🟢 Aucune action immédiate. Réviser au prochain T-90.")))))</f>
        <v/>
      </c>
      <c r="R66" s="28"/>
    </row>
    <row r="67" customFormat="false" ht="30" hidden="false" customHeight="true" outlineLevel="0" collapsed="false">
      <c r="A67" s="27"/>
      <c r="B67" s="28"/>
      <c r="C67" s="28"/>
      <c r="D67" s="28"/>
      <c r="E67" s="28"/>
      <c r="F67" s="28"/>
      <c r="G67" s="28"/>
      <c r="H67" s="29"/>
      <c r="I67" s="30" t="str">
        <f aca="true">IF(H67="","",H67-TODAY())</f>
        <v/>
      </c>
      <c r="J67" s="31" t="str">
        <f aca="true">IF(H67="","",IF(H67&lt;TODAY(),"EXPIRÉ",IF(H67&lt;TODAY()+30,"CRITIQUE",IF(H67&lt;TODAY()+60,"URGENT",IF(H67&lt;TODAY()+90,"À LANCER","OK")))))</f>
        <v/>
      </c>
      <c r="K67" s="32" t="str">
        <f aca="true">IF(H67="","",IF(H67&lt;TODAY(),1,IF(H67&lt;TODAY()+30,2,IF(H67&lt;TODAY()+60,3,IF(H67&lt;TODAY()+90,4,5)))))</f>
        <v/>
      </c>
      <c r="L67" s="29"/>
      <c r="M67" s="29"/>
      <c r="N67" s="29"/>
      <c r="O67" s="29"/>
      <c r="P67" s="28"/>
      <c r="Q67" s="28" t="str">
        <f aca="true">IF(H67="","",IF(H67&lt;TODAY(),"⛔ Cesser immédiatement l'emploi. Saisir préfecture en urgence.",IF(H67&lt;TODAY()+30,"🔴 Vérifier dépôt ANEF + obtenir récépissé sous 8 jours.",IF(H67&lt;TODAY()+60,"🟠 Déposer la demande sur ANEF maintenant (limite R. 431-5).",IF(H67&lt;TODAY()+90,"🟡 Préparer le dossier — convocation salarié sous 15 jours.","🟢 Aucune action immédiate. Réviser au prochain T-90.")))))</f>
        <v/>
      </c>
      <c r="R67" s="28"/>
    </row>
    <row r="68" customFormat="false" ht="30" hidden="false" customHeight="true" outlineLevel="0" collapsed="false">
      <c r="A68" s="27"/>
      <c r="B68" s="28"/>
      <c r="C68" s="28"/>
      <c r="D68" s="28"/>
      <c r="E68" s="28"/>
      <c r="F68" s="28"/>
      <c r="G68" s="28"/>
      <c r="H68" s="29"/>
      <c r="I68" s="30" t="str">
        <f aca="true">IF(H68="","",H68-TODAY())</f>
        <v/>
      </c>
      <c r="J68" s="31" t="str">
        <f aca="true">IF(H68="","",IF(H68&lt;TODAY(),"EXPIRÉ",IF(H68&lt;TODAY()+30,"CRITIQUE",IF(H68&lt;TODAY()+60,"URGENT",IF(H68&lt;TODAY()+90,"À LANCER","OK")))))</f>
        <v/>
      </c>
      <c r="K68" s="32" t="str">
        <f aca="true">IF(H68="","",IF(H68&lt;TODAY(),1,IF(H68&lt;TODAY()+30,2,IF(H68&lt;TODAY()+60,3,IF(H68&lt;TODAY()+90,4,5)))))</f>
        <v/>
      </c>
      <c r="L68" s="29"/>
      <c r="M68" s="29"/>
      <c r="N68" s="29"/>
      <c r="O68" s="29"/>
      <c r="P68" s="28"/>
      <c r="Q68" s="28" t="str">
        <f aca="true">IF(H68="","",IF(H68&lt;TODAY(),"⛔ Cesser immédiatement l'emploi. Saisir préfecture en urgence.",IF(H68&lt;TODAY()+30,"🔴 Vérifier dépôt ANEF + obtenir récépissé sous 8 jours.",IF(H68&lt;TODAY()+60,"🟠 Déposer la demande sur ANEF maintenant (limite R. 431-5).",IF(H68&lt;TODAY()+90,"🟡 Préparer le dossier — convocation salarié sous 15 jours.","🟢 Aucune action immédiate. Réviser au prochain T-90.")))))</f>
        <v/>
      </c>
      <c r="R68" s="28"/>
    </row>
    <row r="69" customFormat="false" ht="30" hidden="false" customHeight="true" outlineLevel="0" collapsed="false">
      <c r="A69" s="27"/>
      <c r="B69" s="28"/>
      <c r="C69" s="28"/>
      <c r="D69" s="28"/>
      <c r="E69" s="28"/>
      <c r="F69" s="28"/>
      <c r="G69" s="28"/>
      <c r="H69" s="29"/>
      <c r="I69" s="30" t="str">
        <f aca="true">IF(H69="","",H69-TODAY())</f>
        <v/>
      </c>
      <c r="J69" s="31" t="str">
        <f aca="true">IF(H69="","",IF(H69&lt;TODAY(),"EXPIRÉ",IF(H69&lt;TODAY()+30,"CRITIQUE",IF(H69&lt;TODAY()+60,"URGENT",IF(H69&lt;TODAY()+90,"À LANCER","OK")))))</f>
        <v/>
      </c>
      <c r="K69" s="32" t="str">
        <f aca="true">IF(H69="","",IF(H69&lt;TODAY(),1,IF(H69&lt;TODAY()+30,2,IF(H69&lt;TODAY()+60,3,IF(H69&lt;TODAY()+90,4,5)))))</f>
        <v/>
      </c>
      <c r="L69" s="29"/>
      <c r="M69" s="29"/>
      <c r="N69" s="29"/>
      <c r="O69" s="29"/>
      <c r="P69" s="28"/>
      <c r="Q69" s="28" t="str">
        <f aca="true">IF(H69="","",IF(H69&lt;TODAY(),"⛔ Cesser immédiatement l'emploi. Saisir préfecture en urgence.",IF(H69&lt;TODAY()+30,"🔴 Vérifier dépôt ANEF + obtenir récépissé sous 8 jours.",IF(H69&lt;TODAY()+60,"🟠 Déposer la demande sur ANEF maintenant (limite R. 431-5).",IF(H69&lt;TODAY()+90,"🟡 Préparer le dossier — convocation salarié sous 15 jours.","🟢 Aucune action immédiate. Réviser au prochain T-90.")))))</f>
        <v/>
      </c>
      <c r="R69" s="28"/>
    </row>
    <row r="70" customFormat="false" ht="30" hidden="false" customHeight="true" outlineLevel="0" collapsed="false">
      <c r="A70" s="27"/>
      <c r="B70" s="28"/>
      <c r="C70" s="28"/>
      <c r="D70" s="28"/>
      <c r="E70" s="28"/>
      <c r="F70" s="28"/>
      <c r="G70" s="28"/>
      <c r="H70" s="29"/>
      <c r="I70" s="30" t="str">
        <f aca="true">IF(H70="","",H70-TODAY())</f>
        <v/>
      </c>
      <c r="J70" s="31" t="str">
        <f aca="true">IF(H70="","",IF(H70&lt;TODAY(),"EXPIRÉ",IF(H70&lt;TODAY()+30,"CRITIQUE",IF(H70&lt;TODAY()+60,"URGENT",IF(H70&lt;TODAY()+90,"À LANCER","OK")))))</f>
        <v/>
      </c>
      <c r="K70" s="32" t="str">
        <f aca="true">IF(H70="","",IF(H70&lt;TODAY(),1,IF(H70&lt;TODAY()+30,2,IF(H70&lt;TODAY()+60,3,IF(H70&lt;TODAY()+90,4,5)))))</f>
        <v/>
      </c>
      <c r="L70" s="29"/>
      <c r="M70" s="29"/>
      <c r="N70" s="29"/>
      <c r="O70" s="29"/>
      <c r="P70" s="28"/>
      <c r="Q70" s="28" t="str">
        <f aca="true">IF(H70="","",IF(H70&lt;TODAY(),"⛔ Cesser immédiatement l'emploi. Saisir préfecture en urgence.",IF(H70&lt;TODAY()+30,"🔴 Vérifier dépôt ANEF + obtenir récépissé sous 8 jours.",IF(H70&lt;TODAY()+60,"🟠 Déposer la demande sur ANEF maintenant (limite R. 431-5).",IF(H70&lt;TODAY()+90,"🟡 Préparer le dossier — convocation salarié sous 15 jours.","🟢 Aucune action immédiate. Réviser au prochain T-90.")))))</f>
        <v/>
      </c>
      <c r="R70" s="28"/>
    </row>
    <row r="71" customFormat="false" ht="30" hidden="false" customHeight="true" outlineLevel="0" collapsed="false">
      <c r="A71" s="27"/>
      <c r="B71" s="28"/>
      <c r="C71" s="28"/>
      <c r="D71" s="28"/>
      <c r="E71" s="28"/>
      <c r="F71" s="28"/>
      <c r="G71" s="28"/>
      <c r="H71" s="29"/>
      <c r="I71" s="30" t="str">
        <f aca="true">IF(H71="","",H71-TODAY())</f>
        <v/>
      </c>
      <c r="J71" s="31" t="str">
        <f aca="true">IF(H71="","",IF(H71&lt;TODAY(),"EXPIRÉ",IF(H71&lt;TODAY()+30,"CRITIQUE",IF(H71&lt;TODAY()+60,"URGENT",IF(H71&lt;TODAY()+90,"À LANCER","OK")))))</f>
        <v/>
      </c>
      <c r="K71" s="32" t="str">
        <f aca="true">IF(H71="","",IF(H71&lt;TODAY(),1,IF(H71&lt;TODAY()+30,2,IF(H71&lt;TODAY()+60,3,IF(H71&lt;TODAY()+90,4,5)))))</f>
        <v/>
      </c>
      <c r="L71" s="29"/>
      <c r="M71" s="29"/>
      <c r="N71" s="29"/>
      <c r="O71" s="29"/>
      <c r="P71" s="28"/>
      <c r="Q71" s="28" t="str">
        <f aca="true">IF(H71="","",IF(H71&lt;TODAY(),"⛔ Cesser immédiatement l'emploi. Saisir préfecture en urgence.",IF(H71&lt;TODAY()+30,"🔴 Vérifier dépôt ANEF + obtenir récépissé sous 8 jours.",IF(H71&lt;TODAY()+60,"🟠 Déposer la demande sur ANEF maintenant (limite R. 431-5).",IF(H71&lt;TODAY()+90,"🟡 Préparer le dossier — convocation salarié sous 15 jours.","🟢 Aucune action immédiate. Réviser au prochain T-90.")))))</f>
        <v/>
      </c>
      <c r="R71" s="28"/>
    </row>
    <row r="72" customFormat="false" ht="30" hidden="false" customHeight="true" outlineLevel="0" collapsed="false">
      <c r="A72" s="27"/>
      <c r="B72" s="28"/>
      <c r="C72" s="28"/>
      <c r="D72" s="28"/>
      <c r="E72" s="28"/>
      <c r="F72" s="28"/>
      <c r="G72" s="28"/>
      <c r="H72" s="29"/>
      <c r="I72" s="30" t="str">
        <f aca="true">IF(H72="","",H72-TODAY())</f>
        <v/>
      </c>
      <c r="J72" s="31" t="str">
        <f aca="true">IF(H72="","",IF(H72&lt;TODAY(),"EXPIRÉ",IF(H72&lt;TODAY()+30,"CRITIQUE",IF(H72&lt;TODAY()+60,"URGENT",IF(H72&lt;TODAY()+90,"À LANCER","OK")))))</f>
        <v/>
      </c>
      <c r="K72" s="32" t="str">
        <f aca="true">IF(H72="","",IF(H72&lt;TODAY(),1,IF(H72&lt;TODAY()+30,2,IF(H72&lt;TODAY()+60,3,IF(H72&lt;TODAY()+90,4,5)))))</f>
        <v/>
      </c>
      <c r="L72" s="29"/>
      <c r="M72" s="29"/>
      <c r="N72" s="29"/>
      <c r="O72" s="29"/>
      <c r="P72" s="28"/>
      <c r="Q72" s="28" t="str">
        <f aca="true">IF(H72="","",IF(H72&lt;TODAY(),"⛔ Cesser immédiatement l'emploi. Saisir préfecture en urgence.",IF(H72&lt;TODAY()+30,"🔴 Vérifier dépôt ANEF + obtenir récépissé sous 8 jours.",IF(H72&lt;TODAY()+60,"🟠 Déposer la demande sur ANEF maintenant (limite R. 431-5).",IF(H72&lt;TODAY()+90,"🟡 Préparer le dossier — convocation salarié sous 15 jours.","🟢 Aucune action immédiate. Réviser au prochain T-90.")))))</f>
        <v/>
      </c>
      <c r="R72" s="28"/>
    </row>
    <row r="73" customFormat="false" ht="30" hidden="false" customHeight="true" outlineLevel="0" collapsed="false">
      <c r="A73" s="27"/>
      <c r="B73" s="28"/>
      <c r="C73" s="28"/>
      <c r="D73" s="28"/>
      <c r="E73" s="28"/>
      <c r="F73" s="28"/>
      <c r="G73" s="28"/>
      <c r="H73" s="29"/>
      <c r="I73" s="30" t="str">
        <f aca="true">IF(H73="","",H73-TODAY())</f>
        <v/>
      </c>
      <c r="J73" s="31" t="str">
        <f aca="true">IF(H73="","",IF(H73&lt;TODAY(),"EXPIRÉ",IF(H73&lt;TODAY()+30,"CRITIQUE",IF(H73&lt;TODAY()+60,"URGENT",IF(H73&lt;TODAY()+90,"À LANCER","OK")))))</f>
        <v/>
      </c>
      <c r="K73" s="32" t="str">
        <f aca="true">IF(H73="","",IF(H73&lt;TODAY(),1,IF(H73&lt;TODAY()+30,2,IF(H73&lt;TODAY()+60,3,IF(H73&lt;TODAY()+90,4,5)))))</f>
        <v/>
      </c>
      <c r="L73" s="29"/>
      <c r="M73" s="29"/>
      <c r="N73" s="29"/>
      <c r="O73" s="29"/>
      <c r="P73" s="28"/>
      <c r="Q73" s="28" t="str">
        <f aca="true">IF(H73="","",IF(H73&lt;TODAY(),"⛔ Cesser immédiatement l'emploi. Saisir préfecture en urgence.",IF(H73&lt;TODAY()+30,"🔴 Vérifier dépôt ANEF + obtenir récépissé sous 8 jours.",IF(H73&lt;TODAY()+60,"🟠 Déposer la demande sur ANEF maintenant (limite R. 431-5).",IF(H73&lt;TODAY()+90,"🟡 Préparer le dossier — convocation salarié sous 15 jours.","🟢 Aucune action immédiate. Réviser au prochain T-90.")))))</f>
        <v/>
      </c>
      <c r="R73" s="28"/>
    </row>
    <row r="74" customFormat="false" ht="30" hidden="false" customHeight="true" outlineLevel="0" collapsed="false">
      <c r="A74" s="27"/>
      <c r="B74" s="28"/>
      <c r="C74" s="28"/>
      <c r="D74" s="28"/>
      <c r="E74" s="28"/>
      <c r="F74" s="28"/>
      <c r="G74" s="28"/>
      <c r="H74" s="29"/>
      <c r="I74" s="30" t="str">
        <f aca="true">IF(H74="","",H74-TODAY())</f>
        <v/>
      </c>
      <c r="J74" s="31" t="str">
        <f aca="true">IF(H74="","",IF(H74&lt;TODAY(),"EXPIRÉ",IF(H74&lt;TODAY()+30,"CRITIQUE",IF(H74&lt;TODAY()+60,"URGENT",IF(H74&lt;TODAY()+90,"À LANCER","OK")))))</f>
        <v/>
      </c>
      <c r="K74" s="32" t="str">
        <f aca="true">IF(H74="","",IF(H74&lt;TODAY(),1,IF(H74&lt;TODAY()+30,2,IF(H74&lt;TODAY()+60,3,IF(H74&lt;TODAY()+90,4,5)))))</f>
        <v/>
      </c>
      <c r="L74" s="29"/>
      <c r="M74" s="29"/>
      <c r="N74" s="29"/>
      <c r="O74" s="29"/>
      <c r="P74" s="28"/>
      <c r="Q74" s="28" t="str">
        <f aca="true">IF(H74="","",IF(H74&lt;TODAY(),"⛔ Cesser immédiatement l'emploi. Saisir préfecture en urgence.",IF(H74&lt;TODAY()+30,"🔴 Vérifier dépôt ANEF + obtenir récépissé sous 8 jours.",IF(H74&lt;TODAY()+60,"🟠 Déposer la demande sur ANEF maintenant (limite R. 431-5).",IF(H74&lt;TODAY()+90,"🟡 Préparer le dossier — convocation salarié sous 15 jours.","🟢 Aucune action immédiate. Réviser au prochain T-90.")))))</f>
        <v/>
      </c>
      <c r="R74" s="28"/>
    </row>
    <row r="75" customFormat="false" ht="30" hidden="false" customHeight="true" outlineLevel="0" collapsed="false">
      <c r="A75" s="27"/>
      <c r="B75" s="28"/>
      <c r="C75" s="28"/>
      <c r="D75" s="28"/>
      <c r="E75" s="28"/>
      <c r="F75" s="28"/>
      <c r="G75" s="28"/>
      <c r="H75" s="29"/>
      <c r="I75" s="30" t="str">
        <f aca="true">IF(H75="","",H75-TODAY())</f>
        <v/>
      </c>
      <c r="J75" s="31" t="str">
        <f aca="true">IF(H75="","",IF(H75&lt;TODAY(),"EXPIRÉ",IF(H75&lt;TODAY()+30,"CRITIQUE",IF(H75&lt;TODAY()+60,"URGENT",IF(H75&lt;TODAY()+90,"À LANCER","OK")))))</f>
        <v/>
      </c>
      <c r="K75" s="32" t="str">
        <f aca="true">IF(H75="","",IF(H75&lt;TODAY(),1,IF(H75&lt;TODAY()+30,2,IF(H75&lt;TODAY()+60,3,IF(H75&lt;TODAY()+90,4,5)))))</f>
        <v/>
      </c>
      <c r="L75" s="29"/>
      <c r="M75" s="29"/>
      <c r="N75" s="29"/>
      <c r="O75" s="29"/>
      <c r="P75" s="28"/>
      <c r="Q75" s="28" t="str">
        <f aca="true">IF(H75="","",IF(H75&lt;TODAY(),"⛔ Cesser immédiatement l'emploi. Saisir préfecture en urgence.",IF(H75&lt;TODAY()+30,"🔴 Vérifier dépôt ANEF + obtenir récépissé sous 8 jours.",IF(H75&lt;TODAY()+60,"🟠 Déposer la demande sur ANEF maintenant (limite R. 431-5).",IF(H75&lt;TODAY()+90,"🟡 Préparer le dossier — convocation salarié sous 15 jours.","🟢 Aucune action immédiate. Réviser au prochain T-90.")))))</f>
        <v/>
      </c>
      <c r="R75" s="28"/>
    </row>
    <row r="76" customFormat="false" ht="30" hidden="false" customHeight="true" outlineLevel="0" collapsed="false">
      <c r="A76" s="27"/>
      <c r="B76" s="28"/>
      <c r="C76" s="28"/>
      <c r="D76" s="28"/>
      <c r="E76" s="28"/>
      <c r="F76" s="28"/>
      <c r="G76" s="28"/>
      <c r="H76" s="29"/>
      <c r="I76" s="30" t="str">
        <f aca="true">IF(H76="","",H76-TODAY())</f>
        <v/>
      </c>
      <c r="J76" s="31" t="str">
        <f aca="true">IF(H76="","",IF(H76&lt;TODAY(),"EXPIRÉ",IF(H76&lt;TODAY()+30,"CRITIQUE",IF(H76&lt;TODAY()+60,"URGENT",IF(H76&lt;TODAY()+90,"À LANCER","OK")))))</f>
        <v/>
      </c>
      <c r="K76" s="32" t="str">
        <f aca="true">IF(H76="","",IF(H76&lt;TODAY(),1,IF(H76&lt;TODAY()+30,2,IF(H76&lt;TODAY()+60,3,IF(H76&lt;TODAY()+90,4,5)))))</f>
        <v/>
      </c>
      <c r="L76" s="29"/>
      <c r="M76" s="29"/>
      <c r="N76" s="29"/>
      <c r="O76" s="29"/>
      <c r="P76" s="28"/>
      <c r="Q76" s="28" t="str">
        <f aca="true">IF(H76="","",IF(H76&lt;TODAY(),"⛔ Cesser immédiatement l'emploi. Saisir préfecture en urgence.",IF(H76&lt;TODAY()+30,"🔴 Vérifier dépôt ANEF + obtenir récépissé sous 8 jours.",IF(H76&lt;TODAY()+60,"🟠 Déposer la demande sur ANEF maintenant (limite R. 431-5).",IF(H76&lt;TODAY()+90,"🟡 Préparer le dossier — convocation salarié sous 15 jours.","🟢 Aucune action immédiate. Réviser au prochain T-90.")))))</f>
        <v/>
      </c>
      <c r="R76" s="28"/>
    </row>
    <row r="77" customFormat="false" ht="30" hidden="false" customHeight="true" outlineLevel="0" collapsed="false">
      <c r="A77" s="27"/>
      <c r="B77" s="28"/>
      <c r="C77" s="28"/>
      <c r="D77" s="28"/>
      <c r="E77" s="28"/>
      <c r="F77" s="28"/>
      <c r="G77" s="28"/>
      <c r="H77" s="29"/>
      <c r="I77" s="30" t="str">
        <f aca="true">IF(H77="","",H77-TODAY())</f>
        <v/>
      </c>
      <c r="J77" s="31" t="str">
        <f aca="true">IF(H77="","",IF(H77&lt;TODAY(),"EXPIRÉ",IF(H77&lt;TODAY()+30,"CRITIQUE",IF(H77&lt;TODAY()+60,"URGENT",IF(H77&lt;TODAY()+90,"À LANCER","OK")))))</f>
        <v/>
      </c>
      <c r="K77" s="32" t="str">
        <f aca="true">IF(H77="","",IF(H77&lt;TODAY(),1,IF(H77&lt;TODAY()+30,2,IF(H77&lt;TODAY()+60,3,IF(H77&lt;TODAY()+90,4,5)))))</f>
        <v/>
      </c>
      <c r="L77" s="29"/>
      <c r="M77" s="29"/>
      <c r="N77" s="29"/>
      <c r="O77" s="29"/>
      <c r="P77" s="28"/>
      <c r="Q77" s="28" t="str">
        <f aca="true">IF(H77="","",IF(H77&lt;TODAY(),"⛔ Cesser immédiatement l'emploi. Saisir préfecture en urgence.",IF(H77&lt;TODAY()+30,"🔴 Vérifier dépôt ANEF + obtenir récépissé sous 8 jours.",IF(H77&lt;TODAY()+60,"🟠 Déposer la demande sur ANEF maintenant (limite R. 431-5).",IF(H77&lt;TODAY()+90,"🟡 Préparer le dossier — convocation salarié sous 15 jours.","🟢 Aucune action immédiate. Réviser au prochain T-90.")))))</f>
        <v/>
      </c>
      <c r="R77" s="28"/>
    </row>
    <row r="78" customFormat="false" ht="30" hidden="false" customHeight="true" outlineLevel="0" collapsed="false">
      <c r="A78" s="27"/>
      <c r="B78" s="28"/>
      <c r="C78" s="28"/>
      <c r="D78" s="28"/>
      <c r="E78" s="28"/>
      <c r="F78" s="28"/>
      <c r="G78" s="28"/>
      <c r="H78" s="29"/>
      <c r="I78" s="30" t="str">
        <f aca="true">IF(H78="","",H78-TODAY())</f>
        <v/>
      </c>
      <c r="J78" s="31" t="str">
        <f aca="true">IF(H78="","",IF(H78&lt;TODAY(),"EXPIRÉ",IF(H78&lt;TODAY()+30,"CRITIQUE",IF(H78&lt;TODAY()+60,"URGENT",IF(H78&lt;TODAY()+90,"À LANCER","OK")))))</f>
        <v/>
      </c>
      <c r="K78" s="32" t="str">
        <f aca="true">IF(H78="","",IF(H78&lt;TODAY(),1,IF(H78&lt;TODAY()+30,2,IF(H78&lt;TODAY()+60,3,IF(H78&lt;TODAY()+90,4,5)))))</f>
        <v/>
      </c>
      <c r="L78" s="29"/>
      <c r="M78" s="29"/>
      <c r="N78" s="29"/>
      <c r="O78" s="29"/>
      <c r="P78" s="28"/>
      <c r="Q78" s="28" t="str">
        <f aca="true">IF(H78="","",IF(H78&lt;TODAY(),"⛔ Cesser immédiatement l'emploi. Saisir préfecture en urgence.",IF(H78&lt;TODAY()+30,"🔴 Vérifier dépôt ANEF + obtenir récépissé sous 8 jours.",IF(H78&lt;TODAY()+60,"🟠 Déposer la demande sur ANEF maintenant (limite R. 431-5).",IF(H78&lt;TODAY()+90,"🟡 Préparer le dossier — convocation salarié sous 15 jours.","🟢 Aucune action immédiate. Réviser au prochain T-90.")))))</f>
        <v/>
      </c>
      <c r="R78" s="28"/>
    </row>
    <row r="79" customFormat="false" ht="30" hidden="false" customHeight="true" outlineLevel="0" collapsed="false">
      <c r="A79" s="27"/>
      <c r="B79" s="28"/>
      <c r="C79" s="28"/>
      <c r="D79" s="28"/>
      <c r="E79" s="28"/>
      <c r="F79" s="28"/>
      <c r="G79" s="28"/>
      <c r="H79" s="29"/>
      <c r="I79" s="30" t="str">
        <f aca="true">IF(H79="","",H79-TODAY())</f>
        <v/>
      </c>
      <c r="J79" s="31" t="str">
        <f aca="true">IF(H79="","",IF(H79&lt;TODAY(),"EXPIRÉ",IF(H79&lt;TODAY()+30,"CRITIQUE",IF(H79&lt;TODAY()+60,"URGENT",IF(H79&lt;TODAY()+90,"À LANCER","OK")))))</f>
        <v/>
      </c>
      <c r="K79" s="32" t="str">
        <f aca="true">IF(H79="","",IF(H79&lt;TODAY(),1,IF(H79&lt;TODAY()+30,2,IF(H79&lt;TODAY()+60,3,IF(H79&lt;TODAY()+90,4,5)))))</f>
        <v/>
      </c>
      <c r="L79" s="29"/>
      <c r="M79" s="29"/>
      <c r="N79" s="29"/>
      <c r="O79" s="29"/>
      <c r="P79" s="28"/>
      <c r="Q79" s="28" t="str">
        <f aca="true">IF(H79="","",IF(H79&lt;TODAY(),"⛔ Cesser immédiatement l'emploi. Saisir préfecture en urgence.",IF(H79&lt;TODAY()+30,"🔴 Vérifier dépôt ANEF + obtenir récépissé sous 8 jours.",IF(H79&lt;TODAY()+60,"🟠 Déposer la demande sur ANEF maintenant (limite R. 431-5).",IF(H79&lt;TODAY()+90,"🟡 Préparer le dossier — convocation salarié sous 15 jours.","🟢 Aucune action immédiate. Réviser au prochain T-90.")))))</f>
        <v/>
      </c>
      <c r="R79" s="28"/>
    </row>
    <row r="80" customFormat="false" ht="30" hidden="false" customHeight="true" outlineLevel="0" collapsed="false">
      <c r="A80" s="27"/>
      <c r="B80" s="28"/>
      <c r="C80" s="28"/>
      <c r="D80" s="28"/>
      <c r="E80" s="28"/>
      <c r="F80" s="28"/>
      <c r="G80" s="28"/>
      <c r="H80" s="29"/>
      <c r="I80" s="30" t="str">
        <f aca="true">IF(H80="","",H80-TODAY())</f>
        <v/>
      </c>
      <c r="J80" s="31" t="str">
        <f aca="true">IF(H80="","",IF(H80&lt;TODAY(),"EXPIRÉ",IF(H80&lt;TODAY()+30,"CRITIQUE",IF(H80&lt;TODAY()+60,"URGENT",IF(H80&lt;TODAY()+90,"À LANCER","OK")))))</f>
        <v/>
      </c>
      <c r="K80" s="32" t="str">
        <f aca="true">IF(H80="","",IF(H80&lt;TODAY(),1,IF(H80&lt;TODAY()+30,2,IF(H80&lt;TODAY()+60,3,IF(H80&lt;TODAY()+90,4,5)))))</f>
        <v/>
      </c>
      <c r="L80" s="29"/>
      <c r="M80" s="29"/>
      <c r="N80" s="29"/>
      <c r="O80" s="29"/>
      <c r="P80" s="28"/>
      <c r="Q80" s="28" t="str">
        <f aca="true">IF(H80="","",IF(H80&lt;TODAY(),"⛔ Cesser immédiatement l'emploi. Saisir préfecture en urgence.",IF(H80&lt;TODAY()+30,"🔴 Vérifier dépôt ANEF + obtenir récépissé sous 8 jours.",IF(H80&lt;TODAY()+60,"🟠 Déposer la demande sur ANEF maintenant (limite R. 431-5).",IF(H80&lt;TODAY()+90,"🟡 Préparer le dossier — convocation salarié sous 15 jours.","🟢 Aucune action immédiate. Réviser au prochain T-90.")))))</f>
        <v/>
      </c>
      <c r="R80" s="28"/>
    </row>
    <row r="81" customFormat="false" ht="30" hidden="false" customHeight="true" outlineLevel="0" collapsed="false">
      <c r="A81" s="27"/>
      <c r="B81" s="28"/>
      <c r="C81" s="28"/>
      <c r="D81" s="28"/>
      <c r="E81" s="28"/>
      <c r="F81" s="28"/>
      <c r="G81" s="28"/>
      <c r="H81" s="29"/>
      <c r="I81" s="30" t="str">
        <f aca="true">IF(H81="","",H81-TODAY())</f>
        <v/>
      </c>
      <c r="J81" s="31" t="str">
        <f aca="true">IF(H81="","",IF(H81&lt;TODAY(),"EXPIRÉ",IF(H81&lt;TODAY()+30,"CRITIQUE",IF(H81&lt;TODAY()+60,"URGENT",IF(H81&lt;TODAY()+90,"À LANCER","OK")))))</f>
        <v/>
      </c>
      <c r="K81" s="32" t="str">
        <f aca="true">IF(H81="","",IF(H81&lt;TODAY(),1,IF(H81&lt;TODAY()+30,2,IF(H81&lt;TODAY()+60,3,IF(H81&lt;TODAY()+90,4,5)))))</f>
        <v/>
      </c>
      <c r="L81" s="29"/>
      <c r="M81" s="29"/>
      <c r="N81" s="29"/>
      <c r="O81" s="29"/>
      <c r="P81" s="28"/>
      <c r="Q81" s="28" t="str">
        <f aca="true">IF(H81="","",IF(H81&lt;TODAY(),"⛔ Cesser immédiatement l'emploi. Saisir préfecture en urgence.",IF(H81&lt;TODAY()+30,"🔴 Vérifier dépôt ANEF + obtenir récépissé sous 8 jours.",IF(H81&lt;TODAY()+60,"🟠 Déposer la demande sur ANEF maintenant (limite R. 431-5).",IF(H81&lt;TODAY()+90,"🟡 Préparer le dossier — convocation salarié sous 15 jours.","🟢 Aucune action immédiate. Réviser au prochain T-90.")))))</f>
        <v/>
      </c>
      <c r="R81" s="28"/>
    </row>
    <row r="82" customFormat="false" ht="30" hidden="false" customHeight="true" outlineLevel="0" collapsed="false">
      <c r="A82" s="27"/>
      <c r="B82" s="28"/>
      <c r="C82" s="28"/>
      <c r="D82" s="28"/>
      <c r="E82" s="28"/>
      <c r="F82" s="28"/>
      <c r="G82" s="28"/>
      <c r="H82" s="29"/>
      <c r="I82" s="30" t="str">
        <f aca="true">IF(H82="","",H82-TODAY())</f>
        <v/>
      </c>
      <c r="J82" s="31" t="str">
        <f aca="true">IF(H82="","",IF(H82&lt;TODAY(),"EXPIRÉ",IF(H82&lt;TODAY()+30,"CRITIQUE",IF(H82&lt;TODAY()+60,"URGENT",IF(H82&lt;TODAY()+90,"À LANCER","OK")))))</f>
        <v/>
      </c>
      <c r="K82" s="32" t="str">
        <f aca="true">IF(H82="","",IF(H82&lt;TODAY(),1,IF(H82&lt;TODAY()+30,2,IF(H82&lt;TODAY()+60,3,IF(H82&lt;TODAY()+90,4,5)))))</f>
        <v/>
      </c>
      <c r="L82" s="29"/>
      <c r="M82" s="29"/>
      <c r="N82" s="29"/>
      <c r="O82" s="29"/>
      <c r="P82" s="28"/>
      <c r="Q82" s="28" t="str">
        <f aca="true">IF(H82="","",IF(H82&lt;TODAY(),"⛔ Cesser immédiatement l'emploi. Saisir préfecture en urgence.",IF(H82&lt;TODAY()+30,"🔴 Vérifier dépôt ANEF + obtenir récépissé sous 8 jours.",IF(H82&lt;TODAY()+60,"🟠 Déposer la demande sur ANEF maintenant (limite R. 431-5).",IF(H82&lt;TODAY()+90,"🟡 Préparer le dossier — convocation salarié sous 15 jours.","🟢 Aucune action immédiate. Réviser au prochain T-90.")))))</f>
        <v/>
      </c>
      <c r="R82" s="28"/>
    </row>
    <row r="83" customFormat="false" ht="30" hidden="false" customHeight="true" outlineLevel="0" collapsed="false">
      <c r="A83" s="27"/>
      <c r="B83" s="28"/>
      <c r="C83" s="28"/>
      <c r="D83" s="28"/>
      <c r="E83" s="28"/>
      <c r="F83" s="28"/>
      <c r="G83" s="28"/>
      <c r="H83" s="29"/>
      <c r="I83" s="30" t="str">
        <f aca="true">IF(H83="","",H83-TODAY())</f>
        <v/>
      </c>
      <c r="J83" s="31" t="str">
        <f aca="true">IF(H83="","",IF(H83&lt;TODAY(),"EXPIRÉ",IF(H83&lt;TODAY()+30,"CRITIQUE",IF(H83&lt;TODAY()+60,"URGENT",IF(H83&lt;TODAY()+90,"À LANCER","OK")))))</f>
        <v/>
      </c>
      <c r="K83" s="32" t="str">
        <f aca="true">IF(H83="","",IF(H83&lt;TODAY(),1,IF(H83&lt;TODAY()+30,2,IF(H83&lt;TODAY()+60,3,IF(H83&lt;TODAY()+90,4,5)))))</f>
        <v/>
      </c>
      <c r="L83" s="29"/>
      <c r="M83" s="29"/>
      <c r="N83" s="29"/>
      <c r="O83" s="29"/>
      <c r="P83" s="28"/>
      <c r="Q83" s="28" t="str">
        <f aca="true">IF(H83="","",IF(H83&lt;TODAY(),"⛔ Cesser immédiatement l'emploi. Saisir préfecture en urgence.",IF(H83&lt;TODAY()+30,"🔴 Vérifier dépôt ANEF + obtenir récépissé sous 8 jours.",IF(H83&lt;TODAY()+60,"🟠 Déposer la demande sur ANEF maintenant (limite R. 431-5).",IF(H83&lt;TODAY()+90,"🟡 Préparer le dossier — convocation salarié sous 15 jours.","🟢 Aucune action immédiate. Réviser au prochain T-90.")))))</f>
        <v/>
      </c>
      <c r="R83" s="28"/>
    </row>
    <row r="84" customFormat="false" ht="30" hidden="false" customHeight="true" outlineLevel="0" collapsed="false">
      <c r="A84" s="27"/>
      <c r="B84" s="28"/>
      <c r="C84" s="28"/>
      <c r="D84" s="28"/>
      <c r="E84" s="28"/>
      <c r="F84" s="28"/>
      <c r="G84" s="28"/>
      <c r="H84" s="29"/>
      <c r="I84" s="30" t="str">
        <f aca="true">IF(H84="","",H84-TODAY())</f>
        <v/>
      </c>
      <c r="J84" s="31" t="str">
        <f aca="true">IF(H84="","",IF(H84&lt;TODAY(),"EXPIRÉ",IF(H84&lt;TODAY()+30,"CRITIQUE",IF(H84&lt;TODAY()+60,"URGENT",IF(H84&lt;TODAY()+90,"À LANCER","OK")))))</f>
        <v/>
      </c>
      <c r="K84" s="32" t="str">
        <f aca="true">IF(H84="","",IF(H84&lt;TODAY(),1,IF(H84&lt;TODAY()+30,2,IF(H84&lt;TODAY()+60,3,IF(H84&lt;TODAY()+90,4,5)))))</f>
        <v/>
      </c>
      <c r="L84" s="29"/>
      <c r="M84" s="29"/>
      <c r="N84" s="29"/>
      <c r="O84" s="29"/>
      <c r="P84" s="28"/>
      <c r="Q84" s="28" t="str">
        <f aca="true">IF(H84="","",IF(H84&lt;TODAY(),"⛔ Cesser immédiatement l'emploi. Saisir préfecture en urgence.",IF(H84&lt;TODAY()+30,"🔴 Vérifier dépôt ANEF + obtenir récépissé sous 8 jours.",IF(H84&lt;TODAY()+60,"🟠 Déposer la demande sur ANEF maintenant (limite R. 431-5).",IF(H84&lt;TODAY()+90,"🟡 Préparer le dossier — convocation salarié sous 15 jours.","🟢 Aucune action immédiate. Réviser au prochain T-90.")))))</f>
        <v/>
      </c>
      <c r="R84" s="28"/>
    </row>
    <row r="85" customFormat="false" ht="30" hidden="false" customHeight="true" outlineLevel="0" collapsed="false">
      <c r="A85" s="27"/>
      <c r="B85" s="28"/>
      <c r="C85" s="28"/>
      <c r="D85" s="28"/>
      <c r="E85" s="28"/>
      <c r="F85" s="28"/>
      <c r="G85" s="28"/>
      <c r="H85" s="29"/>
      <c r="I85" s="30" t="str">
        <f aca="true">IF(H85="","",H85-TODAY())</f>
        <v/>
      </c>
      <c r="J85" s="31" t="str">
        <f aca="true">IF(H85="","",IF(H85&lt;TODAY(),"EXPIRÉ",IF(H85&lt;TODAY()+30,"CRITIQUE",IF(H85&lt;TODAY()+60,"URGENT",IF(H85&lt;TODAY()+90,"À LANCER","OK")))))</f>
        <v/>
      </c>
      <c r="K85" s="32" t="str">
        <f aca="true">IF(H85="","",IF(H85&lt;TODAY(),1,IF(H85&lt;TODAY()+30,2,IF(H85&lt;TODAY()+60,3,IF(H85&lt;TODAY()+90,4,5)))))</f>
        <v/>
      </c>
      <c r="L85" s="29"/>
      <c r="M85" s="29"/>
      <c r="N85" s="29"/>
      <c r="O85" s="29"/>
      <c r="P85" s="28"/>
      <c r="Q85" s="28" t="str">
        <f aca="true">IF(H85="","",IF(H85&lt;TODAY(),"⛔ Cesser immédiatement l'emploi. Saisir préfecture en urgence.",IF(H85&lt;TODAY()+30,"🔴 Vérifier dépôt ANEF + obtenir récépissé sous 8 jours.",IF(H85&lt;TODAY()+60,"🟠 Déposer la demande sur ANEF maintenant (limite R. 431-5).",IF(H85&lt;TODAY()+90,"🟡 Préparer le dossier — convocation salarié sous 15 jours.","🟢 Aucune action immédiate. Réviser au prochain T-90.")))))</f>
        <v/>
      </c>
      <c r="R85" s="28"/>
    </row>
    <row r="86" customFormat="false" ht="30" hidden="false" customHeight="true" outlineLevel="0" collapsed="false">
      <c r="A86" s="27"/>
      <c r="B86" s="28"/>
      <c r="C86" s="28"/>
      <c r="D86" s="28"/>
      <c r="E86" s="28"/>
      <c r="F86" s="28"/>
      <c r="G86" s="28"/>
      <c r="H86" s="29"/>
      <c r="I86" s="30" t="str">
        <f aca="true">IF(H86="","",H86-TODAY())</f>
        <v/>
      </c>
      <c r="J86" s="31" t="str">
        <f aca="true">IF(H86="","",IF(H86&lt;TODAY(),"EXPIRÉ",IF(H86&lt;TODAY()+30,"CRITIQUE",IF(H86&lt;TODAY()+60,"URGENT",IF(H86&lt;TODAY()+90,"À LANCER","OK")))))</f>
        <v/>
      </c>
      <c r="K86" s="32" t="str">
        <f aca="true">IF(H86="","",IF(H86&lt;TODAY(),1,IF(H86&lt;TODAY()+30,2,IF(H86&lt;TODAY()+60,3,IF(H86&lt;TODAY()+90,4,5)))))</f>
        <v/>
      </c>
      <c r="L86" s="29"/>
      <c r="M86" s="29"/>
      <c r="N86" s="29"/>
      <c r="O86" s="29"/>
      <c r="P86" s="28"/>
      <c r="Q86" s="28" t="str">
        <f aca="true">IF(H86="","",IF(H86&lt;TODAY(),"⛔ Cesser immédiatement l'emploi. Saisir préfecture en urgence.",IF(H86&lt;TODAY()+30,"🔴 Vérifier dépôt ANEF + obtenir récépissé sous 8 jours.",IF(H86&lt;TODAY()+60,"🟠 Déposer la demande sur ANEF maintenant (limite R. 431-5).",IF(H86&lt;TODAY()+90,"🟡 Préparer le dossier — convocation salarié sous 15 jours.","🟢 Aucune action immédiate. Réviser au prochain T-90.")))))</f>
        <v/>
      </c>
      <c r="R86" s="28"/>
    </row>
    <row r="87" customFormat="false" ht="30" hidden="false" customHeight="true" outlineLevel="0" collapsed="false">
      <c r="A87" s="27"/>
      <c r="B87" s="28"/>
      <c r="C87" s="28"/>
      <c r="D87" s="28"/>
      <c r="E87" s="28"/>
      <c r="F87" s="28"/>
      <c r="G87" s="28"/>
      <c r="H87" s="29"/>
      <c r="I87" s="30" t="str">
        <f aca="true">IF(H87="","",H87-TODAY())</f>
        <v/>
      </c>
      <c r="J87" s="31" t="str">
        <f aca="true">IF(H87="","",IF(H87&lt;TODAY(),"EXPIRÉ",IF(H87&lt;TODAY()+30,"CRITIQUE",IF(H87&lt;TODAY()+60,"URGENT",IF(H87&lt;TODAY()+90,"À LANCER","OK")))))</f>
        <v/>
      </c>
      <c r="K87" s="32" t="str">
        <f aca="true">IF(H87="","",IF(H87&lt;TODAY(),1,IF(H87&lt;TODAY()+30,2,IF(H87&lt;TODAY()+60,3,IF(H87&lt;TODAY()+90,4,5)))))</f>
        <v/>
      </c>
      <c r="L87" s="29"/>
      <c r="M87" s="29"/>
      <c r="N87" s="29"/>
      <c r="O87" s="29"/>
      <c r="P87" s="28"/>
      <c r="Q87" s="28" t="str">
        <f aca="true">IF(H87="","",IF(H87&lt;TODAY(),"⛔ Cesser immédiatement l'emploi. Saisir préfecture en urgence.",IF(H87&lt;TODAY()+30,"🔴 Vérifier dépôt ANEF + obtenir récépissé sous 8 jours.",IF(H87&lt;TODAY()+60,"🟠 Déposer la demande sur ANEF maintenant (limite R. 431-5).",IF(H87&lt;TODAY()+90,"🟡 Préparer le dossier — convocation salarié sous 15 jours.","🟢 Aucune action immédiate. Réviser au prochain T-90.")))))</f>
        <v/>
      </c>
      <c r="R87" s="28"/>
    </row>
    <row r="88" customFormat="false" ht="30" hidden="false" customHeight="true" outlineLevel="0" collapsed="false">
      <c r="A88" s="27"/>
      <c r="B88" s="28"/>
      <c r="C88" s="28"/>
      <c r="D88" s="28"/>
      <c r="E88" s="28"/>
      <c r="F88" s="28"/>
      <c r="G88" s="28"/>
      <c r="H88" s="29"/>
      <c r="I88" s="30" t="str">
        <f aca="true">IF(H88="","",H88-TODAY())</f>
        <v/>
      </c>
      <c r="J88" s="31" t="str">
        <f aca="true">IF(H88="","",IF(H88&lt;TODAY(),"EXPIRÉ",IF(H88&lt;TODAY()+30,"CRITIQUE",IF(H88&lt;TODAY()+60,"URGENT",IF(H88&lt;TODAY()+90,"À LANCER","OK")))))</f>
        <v/>
      </c>
      <c r="K88" s="32" t="str">
        <f aca="true">IF(H88="","",IF(H88&lt;TODAY(),1,IF(H88&lt;TODAY()+30,2,IF(H88&lt;TODAY()+60,3,IF(H88&lt;TODAY()+90,4,5)))))</f>
        <v/>
      </c>
      <c r="L88" s="29"/>
      <c r="M88" s="29"/>
      <c r="N88" s="29"/>
      <c r="O88" s="29"/>
      <c r="P88" s="28"/>
      <c r="Q88" s="28" t="str">
        <f aca="true">IF(H88="","",IF(H88&lt;TODAY(),"⛔ Cesser immédiatement l'emploi. Saisir préfecture en urgence.",IF(H88&lt;TODAY()+30,"🔴 Vérifier dépôt ANEF + obtenir récépissé sous 8 jours.",IF(H88&lt;TODAY()+60,"🟠 Déposer la demande sur ANEF maintenant (limite R. 431-5).",IF(H88&lt;TODAY()+90,"🟡 Préparer le dossier — convocation salarié sous 15 jours.","🟢 Aucune action immédiate. Réviser au prochain T-90.")))))</f>
        <v/>
      </c>
      <c r="R88" s="28"/>
    </row>
    <row r="89" customFormat="false" ht="30" hidden="false" customHeight="true" outlineLevel="0" collapsed="false">
      <c r="A89" s="27"/>
      <c r="B89" s="28"/>
      <c r="C89" s="28"/>
      <c r="D89" s="28"/>
      <c r="E89" s="28"/>
      <c r="F89" s="28"/>
      <c r="G89" s="28"/>
      <c r="H89" s="29"/>
      <c r="I89" s="30" t="str">
        <f aca="true">IF(H89="","",H89-TODAY())</f>
        <v/>
      </c>
      <c r="J89" s="31" t="str">
        <f aca="true">IF(H89="","",IF(H89&lt;TODAY(),"EXPIRÉ",IF(H89&lt;TODAY()+30,"CRITIQUE",IF(H89&lt;TODAY()+60,"URGENT",IF(H89&lt;TODAY()+90,"À LANCER","OK")))))</f>
        <v/>
      </c>
      <c r="K89" s="32" t="str">
        <f aca="true">IF(H89="","",IF(H89&lt;TODAY(),1,IF(H89&lt;TODAY()+30,2,IF(H89&lt;TODAY()+60,3,IF(H89&lt;TODAY()+90,4,5)))))</f>
        <v/>
      </c>
      <c r="L89" s="29"/>
      <c r="M89" s="29"/>
      <c r="N89" s="29"/>
      <c r="O89" s="29"/>
      <c r="P89" s="28"/>
      <c r="Q89" s="28" t="str">
        <f aca="true">IF(H89="","",IF(H89&lt;TODAY(),"⛔ Cesser immédiatement l'emploi. Saisir préfecture en urgence.",IF(H89&lt;TODAY()+30,"🔴 Vérifier dépôt ANEF + obtenir récépissé sous 8 jours.",IF(H89&lt;TODAY()+60,"🟠 Déposer la demande sur ANEF maintenant (limite R. 431-5).",IF(H89&lt;TODAY()+90,"🟡 Préparer le dossier — convocation salarié sous 15 jours.","🟢 Aucune action immédiate. Réviser au prochain T-90.")))))</f>
        <v/>
      </c>
      <c r="R89" s="28"/>
    </row>
    <row r="90" customFormat="false" ht="30" hidden="false" customHeight="true" outlineLevel="0" collapsed="false">
      <c r="A90" s="27"/>
      <c r="B90" s="28"/>
      <c r="C90" s="28"/>
      <c r="D90" s="28"/>
      <c r="E90" s="28"/>
      <c r="F90" s="28"/>
      <c r="G90" s="28"/>
      <c r="H90" s="29"/>
      <c r="I90" s="30" t="str">
        <f aca="true">IF(H90="","",H90-TODAY())</f>
        <v/>
      </c>
      <c r="J90" s="31" t="str">
        <f aca="true">IF(H90="","",IF(H90&lt;TODAY(),"EXPIRÉ",IF(H90&lt;TODAY()+30,"CRITIQUE",IF(H90&lt;TODAY()+60,"URGENT",IF(H90&lt;TODAY()+90,"À LANCER","OK")))))</f>
        <v/>
      </c>
      <c r="K90" s="32" t="str">
        <f aca="true">IF(H90="","",IF(H90&lt;TODAY(),1,IF(H90&lt;TODAY()+30,2,IF(H90&lt;TODAY()+60,3,IF(H90&lt;TODAY()+90,4,5)))))</f>
        <v/>
      </c>
      <c r="L90" s="29"/>
      <c r="M90" s="29"/>
      <c r="N90" s="29"/>
      <c r="O90" s="29"/>
      <c r="P90" s="28"/>
      <c r="Q90" s="28" t="str">
        <f aca="true">IF(H90="","",IF(H90&lt;TODAY(),"⛔ Cesser immédiatement l'emploi. Saisir préfecture en urgence.",IF(H90&lt;TODAY()+30,"🔴 Vérifier dépôt ANEF + obtenir récépissé sous 8 jours.",IF(H90&lt;TODAY()+60,"🟠 Déposer la demande sur ANEF maintenant (limite R. 431-5).",IF(H90&lt;TODAY()+90,"🟡 Préparer le dossier — convocation salarié sous 15 jours.","🟢 Aucune action immédiate. Réviser au prochain T-90.")))))</f>
        <v/>
      </c>
      <c r="R90" s="28"/>
    </row>
    <row r="91" customFormat="false" ht="30" hidden="false" customHeight="true" outlineLevel="0" collapsed="false">
      <c r="A91" s="27"/>
      <c r="B91" s="28"/>
      <c r="C91" s="28"/>
      <c r="D91" s="28"/>
      <c r="E91" s="28"/>
      <c r="F91" s="28"/>
      <c r="G91" s="28"/>
      <c r="H91" s="29"/>
      <c r="I91" s="30" t="str">
        <f aca="true">IF(H91="","",H91-TODAY())</f>
        <v/>
      </c>
      <c r="J91" s="31" t="str">
        <f aca="true">IF(H91="","",IF(H91&lt;TODAY(),"EXPIRÉ",IF(H91&lt;TODAY()+30,"CRITIQUE",IF(H91&lt;TODAY()+60,"URGENT",IF(H91&lt;TODAY()+90,"À LANCER","OK")))))</f>
        <v/>
      </c>
      <c r="K91" s="32" t="str">
        <f aca="true">IF(H91="","",IF(H91&lt;TODAY(),1,IF(H91&lt;TODAY()+30,2,IF(H91&lt;TODAY()+60,3,IF(H91&lt;TODAY()+90,4,5)))))</f>
        <v/>
      </c>
      <c r="L91" s="29"/>
      <c r="M91" s="29"/>
      <c r="N91" s="29"/>
      <c r="O91" s="29"/>
      <c r="P91" s="28"/>
      <c r="Q91" s="28" t="str">
        <f aca="true">IF(H91="","",IF(H91&lt;TODAY(),"⛔ Cesser immédiatement l'emploi. Saisir préfecture en urgence.",IF(H91&lt;TODAY()+30,"🔴 Vérifier dépôt ANEF + obtenir récépissé sous 8 jours.",IF(H91&lt;TODAY()+60,"🟠 Déposer la demande sur ANEF maintenant (limite R. 431-5).",IF(H91&lt;TODAY()+90,"🟡 Préparer le dossier — convocation salarié sous 15 jours.","🟢 Aucune action immédiate. Réviser au prochain T-90.")))))</f>
        <v/>
      </c>
      <c r="R91" s="28"/>
    </row>
    <row r="92" customFormat="false" ht="30" hidden="false" customHeight="true" outlineLevel="0" collapsed="false">
      <c r="A92" s="27"/>
      <c r="B92" s="28"/>
      <c r="C92" s="28"/>
      <c r="D92" s="28"/>
      <c r="E92" s="28"/>
      <c r="F92" s="28"/>
      <c r="G92" s="28"/>
      <c r="H92" s="29"/>
      <c r="I92" s="30" t="str">
        <f aca="true">IF(H92="","",H92-TODAY())</f>
        <v/>
      </c>
      <c r="J92" s="31" t="str">
        <f aca="true">IF(H92="","",IF(H92&lt;TODAY(),"EXPIRÉ",IF(H92&lt;TODAY()+30,"CRITIQUE",IF(H92&lt;TODAY()+60,"URGENT",IF(H92&lt;TODAY()+90,"À LANCER","OK")))))</f>
        <v/>
      </c>
      <c r="K92" s="32" t="str">
        <f aca="true">IF(H92="","",IF(H92&lt;TODAY(),1,IF(H92&lt;TODAY()+30,2,IF(H92&lt;TODAY()+60,3,IF(H92&lt;TODAY()+90,4,5)))))</f>
        <v/>
      </c>
      <c r="L92" s="29"/>
      <c r="M92" s="29"/>
      <c r="N92" s="29"/>
      <c r="O92" s="29"/>
      <c r="P92" s="28"/>
      <c r="Q92" s="28" t="str">
        <f aca="true">IF(H92="","",IF(H92&lt;TODAY(),"⛔ Cesser immédiatement l'emploi. Saisir préfecture en urgence.",IF(H92&lt;TODAY()+30,"🔴 Vérifier dépôt ANEF + obtenir récépissé sous 8 jours.",IF(H92&lt;TODAY()+60,"🟠 Déposer la demande sur ANEF maintenant (limite R. 431-5).",IF(H92&lt;TODAY()+90,"🟡 Préparer le dossier — convocation salarié sous 15 jours.","🟢 Aucune action immédiate. Réviser au prochain T-90.")))))</f>
        <v/>
      </c>
      <c r="R92" s="28"/>
    </row>
    <row r="93" customFormat="false" ht="30" hidden="false" customHeight="true" outlineLevel="0" collapsed="false">
      <c r="A93" s="27"/>
      <c r="B93" s="28"/>
      <c r="C93" s="28"/>
      <c r="D93" s="28"/>
      <c r="E93" s="28"/>
      <c r="F93" s="28"/>
      <c r="G93" s="28"/>
      <c r="H93" s="29"/>
      <c r="I93" s="30" t="str">
        <f aca="true">IF(H93="","",H93-TODAY())</f>
        <v/>
      </c>
      <c r="J93" s="31" t="str">
        <f aca="true">IF(H93="","",IF(H93&lt;TODAY(),"EXPIRÉ",IF(H93&lt;TODAY()+30,"CRITIQUE",IF(H93&lt;TODAY()+60,"URGENT",IF(H93&lt;TODAY()+90,"À LANCER","OK")))))</f>
        <v/>
      </c>
      <c r="K93" s="32" t="str">
        <f aca="true">IF(H93="","",IF(H93&lt;TODAY(),1,IF(H93&lt;TODAY()+30,2,IF(H93&lt;TODAY()+60,3,IF(H93&lt;TODAY()+90,4,5)))))</f>
        <v/>
      </c>
      <c r="L93" s="29"/>
      <c r="M93" s="29"/>
      <c r="N93" s="29"/>
      <c r="O93" s="29"/>
      <c r="P93" s="28"/>
      <c r="Q93" s="28" t="str">
        <f aca="true">IF(H93="","",IF(H93&lt;TODAY(),"⛔ Cesser immédiatement l'emploi. Saisir préfecture en urgence.",IF(H93&lt;TODAY()+30,"🔴 Vérifier dépôt ANEF + obtenir récépissé sous 8 jours.",IF(H93&lt;TODAY()+60,"🟠 Déposer la demande sur ANEF maintenant (limite R. 431-5).",IF(H93&lt;TODAY()+90,"🟡 Préparer le dossier — convocation salarié sous 15 jours.","🟢 Aucune action immédiate. Réviser au prochain T-90.")))))</f>
        <v/>
      </c>
      <c r="R93" s="28"/>
    </row>
    <row r="94" customFormat="false" ht="30" hidden="false" customHeight="true" outlineLevel="0" collapsed="false">
      <c r="A94" s="27"/>
      <c r="B94" s="28"/>
      <c r="C94" s="28"/>
      <c r="D94" s="28"/>
      <c r="E94" s="28"/>
      <c r="F94" s="28"/>
      <c r="G94" s="28"/>
      <c r="H94" s="29"/>
      <c r="I94" s="30" t="str">
        <f aca="true">IF(H94="","",H94-TODAY())</f>
        <v/>
      </c>
      <c r="J94" s="31" t="str">
        <f aca="true">IF(H94="","",IF(H94&lt;TODAY(),"EXPIRÉ",IF(H94&lt;TODAY()+30,"CRITIQUE",IF(H94&lt;TODAY()+60,"URGENT",IF(H94&lt;TODAY()+90,"À LANCER","OK")))))</f>
        <v/>
      </c>
      <c r="K94" s="32" t="str">
        <f aca="true">IF(H94="","",IF(H94&lt;TODAY(),1,IF(H94&lt;TODAY()+30,2,IF(H94&lt;TODAY()+60,3,IF(H94&lt;TODAY()+90,4,5)))))</f>
        <v/>
      </c>
      <c r="L94" s="29"/>
      <c r="M94" s="29"/>
      <c r="N94" s="29"/>
      <c r="O94" s="29"/>
      <c r="P94" s="28"/>
      <c r="Q94" s="28" t="str">
        <f aca="true">IF(H94="","",IF(H94&lt;TODAY(),"⛔ Cesser immédiatement l'emploi. Saisir préfecture en urgence.",IF(H94&lt;TODAY()+30,"🔴 Vérifier dépôt ANEF + obtenir récépissé sous 8 jours.",IF(H94&lt;TODAY()+60,"🟠 Déposer la demande sur ANEF maintenant (limite R. 431-5).",IF(H94&lt;TODAY()+90,"🟡 Préparer le dossier — convocation salarié sous 15 jours.","🟢 Aucune action immédiate. Réviser au prochain T-90.")))))</f>
        <v/>
      </c>
      <c r="R94" s="28"/>
    </row>
    <row r="95" customFormat="false" ht="30" hidden="false" customHeight="true" outlineLevel="0" collapsed="false">
      <c r="A95" s="27"/>
      <c r="B95" s="28"/>
      <c r="C95" s="28"/>
      <c r="D95" s="28"/>
      <c r="E95" s="28"/>
      <c r="F95" s="28"/>
      <c r="G95" s="28"/>
      <c r="H95" s="29"/>
      <c r="I95" s="30" t="str">
        <f aca="true">IF(H95="","",H95-TODAY())</f>
        <v/>
      </c>
      <c r="J95" s="31" t="str">
        <f aca="true">IF(H95="","",IF(H95&lt;TODAY(),"EXPIRÉ",IF(H95&lt;TODAY()+30,"CRITIQUE",IF(H95&lt;TODAY()+60,"URGENT",IF(H95&lt;TODAY()+90,"À LANCER","OK")))))</f>
        <v/>
      </c>
      <c r="K95" s="32" t="str">
        <f aca="true">IF(H95="","",IF(H95&lt;TODAY(),1,IF(H95&lt;TODAY()+30,2,IF(H95&lt;TODAY()+60,3,IF(H95&lt;TODAY()+90,4,5)))))</f>
        <v/>
      </c>
      <c r="L95" s="29"/>
      <c r="M95" s="29"/>
      <c r="N95" s="29"/>
      <c r="O95" s="29"/>
      <c r="P95" s="28"/>
      <c r="Q95" s="28" t="str">
        <f aca="true">IF(H95="","",IF(H95&lt;TODAY(),"⛔ Cesser immédiatement l'emploi. Saisir préfecture en urgence.",IF(H95&lt;TODAY()+30,"🔴 Vérifier dépôt ANEF + obtenir récépissé sous 8 jours.",IF(H95&lt;TODAY()+60,"🟠 Déposer la demande sur ANEF maintenant (limite R. 431-5).",IF(H95&lt;TODAY()+90,"🟡 Préparer le dossier — convocation salarié sous 15 jours.","🟢 Aucune action immédiate. Réviser au prochain T-90.")))))</f>
        <v/>
      </c>
      <c r="R95" s="28"/>
    </row>
    <row r="96" customFormat="false" ht="30" hidden="false" customHeight="true" outlineLevel="0" collapsed="false">
      <c r="A96" s="27"/>
      <c r="B96" s="28"/>
      <c r="C96" s="28"/>
      <c r="D96" s="28"/>
      <c r="E96" s="28"/>
      <c r="F96" s="28"/>
      <c r="G96" s="28"/>
      <c r="H96" s="29"/>
      <c r="I96" s="30" t="str">
        <f aca="true">IF(H96="","",H96-TODAY())</f>
        <v/>
      </c>
      <c r="J96" s="31" t="str">
        <f aca="true">IF(H96="","",IF(H96&lt;TODAY(),"EXPIRÉ",IF(H96&lt;TODAY()+30,"CRITIQUE",IF(H96&lt;TODAY()+60,"URGENT",IF(H96&lt;TODAY()+90,"À LANCER","OK")))))</f>
        <v/>
      </c>
      <c r="K96" s="32" t="str">
        <f aca="true">IF(H96="","",IF(H96&lt;TODAY(),1,IF(H96&lt;TODAY()+30,2,IF(H96&lt;TODAY()+60,3,IF(H96&lt;TODAY()+90,4,5)))))</f>
        <v/>
      </c>
      <c r="L96" s="29"/>
      <c r="M96" s="29"/>
      <c r="N96" s="29"/>
      <c r="O96" s="29"/>
      <c r="P96" s="28"/>
      <c r="Q96" s="28" t="str">
        <f aca="true">IF(H96="","",IF(H96&lt;TODAY(),"⛔ Cesser immédiatement l'emploi. Saisir préfecture en urgence.",IF(H96&lt;TODAY()+30,"🔴 Vérifier dépôt ANEF + obtenir récépissé sous 8 jours.",IF(H96&lt;TODAY()+60,"🟠 Déposer la demande sur ANEF maintenant (limite R. 431-5).",IF(H96&lt;TODAY()+90,"🟡 Préparer le dossier — convocation salarié sous 15 jours.","🟢 Aucune action immédiate. Réviser au prochain T-90.")))))</f>
        <v/>
      </c>
      <c r="R96" s="28"/>
    </row>
    <row r="97" customFormat="false" ht="30" hidden="false" customHeight="true" outlineLevel="0" collapsed="false">
      <c r="A97" s="27"/>
      <c r="B97" s="28"/>
      <c r="C97" s="28"/>
      <c r="D97" s="28"/>
      <c r="E97" s="28"/>
      <c r="F97" s="28"/>
      <c r="G97" s="28"/>
      <c r="H97" s="29"/>
      <c r="I97" s="30" t="str">
        <f aca="true">IF(H97="","",H97-TODAY())</f>
        <v/>
      </c>
      <c r="J97" s="31" t="str">
        <f aca="true">IF(H97="","",IF(H97&lt;TODAY(),"EXPIRÉ",IF(H97&lt;TODAY()+30,"CRITIQUE",IF(H97&lt;TODAY()+60,"URGENT",IF(H97&lt;TODAY()+90,"À LANCER","OK")))))</f>
        <v/>
      </c>
      <c r="K97" s="32" t="str">
        <f aca="true">IF(H97="","",IF(H97&lt;TODAY(),1,IF(H97&lt;TODAY()+30,2,IF(H97&lt;TODAY()+60,3,IF(H97&lt;TODAY()+90,4,5)))))</f>
        <v/>
      </c>
      <c r="L97" s="29"/>
      <c r="M97" s="29"/>
      <c r="N97" s="29"/>
      <c r="O97" s="29"/>
      <c r="P97" s="28"/>
      <c r="Q97" s="28" t="str">
        <f aca="true">IF(H97="","",IF(H97&lt;TODAY(),"⛔ Cesser immédiatement l'emploi. Saisir préfecture en urgence.",IF(H97&lt;TODAY()+30,"🔴 Vérifier dépôt ANEF + obtenir récépissé sous 8 jours.",IF(H97&lt;TODAY()+60,"🟠 Déposer la demande sur ANEF maintenant (limite R. 431-5).",IF(H97&lt;TODAY()+90,"🟡 Préparer le dossier — convocation salarié sous 15 jours.","🟢 Aucune action immédiate. Réviser au prochain T-90.")))))</f>
        <v/>
      </c>
      <c r="R97" s="28"/>
    </row>
    <row r="98" customFormat="false" ht="30" hidden="false" customHeight="true" outlineLevel="0" collapsed="false">
      <c r="A98" s="27"/>
      <c r="B98" s="28"/>
      <c r="C98" s="28"/>
      <c r="D98" s="28"/>
      <c r="E98" s="28"/>
      <c r="F98" s="28"/>
      <c r="G98" s="28"/>
      <c r="H98" s="29"/>
      <c r="I98" s="30" t="str">
        <f aca="true">IF(H98="","",H98-TODAY())</f>
        <v/>
      </c>
      <c r="J98" s="31" t="str">
        <f aca="true">IF(H98="","",IF(H98&lt;TODAY(),"EXPIRÉ",IF(H98&lt;TODAY()+30,"CRITIQUE",IF(H98&lt;TODAY()+60,"URGENT",IF(H98&lt;TODAY()+90,"À LANCER","OK")))))</f>
        <v/>
      </c>
      <c r="K98" s="32" t="str">
        <f aca="true">IF(H98="","",IF(H98&lt;TODAY(),1,IF(H98&lt;TODAY()+30,2,IF(H98&lt;TODAY()+60,3,IF(H98&lt;TODAY()+90,4,5)))))</f>
        <v/>
      </c>
      <c r="L98" s="29"/>
      <c r="M98" s="29"/>
      <c r="N98" s="29"/>
      <c r="O98" s="29"/>
      <c r="P98" s="28"/>
      <c r="Q98" s="28" t="str">
        <f aca="true">IF(H98="","",IF(H98&lt;TODAY(),"⛔ Cesser immédiatement l'emploi. Saisir préfecture en urgence.",IF(H98&lt;TODAY()+30,"🔴 Vérifier dépôt ANEF + obtenir récépissé sous 8 jours.",IF(H98&lt;TODAY()+60,"🟠 Déposer la demande sur ANEF maintenant (limite R. 431-5).",IF(H98&lt;TODAY()+90,"🟡 Préparer le dossier — convocation salarié sous 15 jours.","🟢 Aucune action immédiate. Réviser au prochain T-90.")))))</f>
        <v/>
      </c>
      <c r="R98" s="28"/>
    </row>
    <row r="99" customFormat="false" ht="30" hidden="false" customHeight="true" outlineLevel="0" collapsed="false">
      <c r="A99" s="27"/>
      <c r="B99" s="28"/>
      <c r="C99" s="28"/>
      <c r="D99" s="28"/>
      <c r="E99" s="28"/>
      <c r="F99" s="28"/>
      <c r="G99" s="28"/>
      <c r="H99" s="29"/>
      <c r="I99" s="30" t="str">
        <f aca="true">IF(H99="","",H99-TODAY())</f>
        <v/>
      </c>
      <c r="J99" s="31" t="str">
        <f aca="true">IF(H99="","",IF(H99&lt;TODAY(),"EXPIRÉ",IF(H99&lt;TODAY()+30,"CRITIQUE",IF(H99&lt;TODAY()+60,"URGENT",IF(H99&lt;TODAY()+90,"À LANCER","OK")))))</f>
        <v/>
      </c>
      <c r="K99" s="32" t="str">
        <f aca="true">IF(H99="","",IF(H99&lt;TODAY(),1,IF(H99&lt;TODAY()+30,2,IF(H99&lt;TODAY()+60,3,IF(H99&lt;TODAY()+90,4,5)))))</f>
        <v/>
      </c>
      <c r="L99" s="29"/>
      <c r="M99" s="29"/>
      <c r="N99" s="29"/>
      <c r="O99" s="29"/>
      <c r="P99" s="28"/>
      <c r="Q99" s="28" t="str">
        <f aca="true">IF(H99="","",IF(H99&lt;TODAY(),"⛔ Cesser immédiatement l'emploi. Saisir préfecture en urgence.",IF(H99&lt;TODAY()+30,"🔴 Vérifier dépôt ANEF + obtenir récépissé sous 8 jours.",IF(H99&lt;TODAY()+60,"🟠 Déposer la demande sur ANEF maintenant (limite R. 431-5).",IF(H99&lt;TODAY()+90,"🟡 Préparer le dossier — convocation salarié sous 15 jours.","🟢 Aucune action immédiate. Réviser au prochain T-90.")))))</f>
        <v/>
      </c>
      <c r="R99" s="28"/>
    </row>
    <row r="100" customFormat="false" ht="30" hidden="false" customHeight="true" outlineLevel="0" collapsed="false">
      <c r="A100" s="27"/>
      <c r="B100" s="28"/>
      <c r="C100" s="28"/>
      <c r="D100" s="28"/>
      <c r="E100" s="28"/>
      <c r="F100" s="28"/>
      <c r="G100" s="28"/>
      <c r="H100" s="29"/>
      <c r="I100" s="30" t="str">
        <f aca="true">IF(H100="","",H100-TODAY())</f>
        <v/>
      </c>
      <c r="J100" s="31" t="str">
        <f aca="true">IF(H100="","",IF(H100&lt;TODAY(),"EXPIRÉ",IF(H100&lt;TODAY()+30,"CRITIQUE",IF(H100&lt;TODAY()+60,"URGENT",IF(H100&lt;TODAY()+90,"À LANCER","OK")))))</f>
        <v/>
      </c>
      <c r="K100" s="32" t="str">
        <f aca="true">IF(H100="","",IF(H100&lt;TODAY(),1,IF(H100&lt;TODAY()+30,2,IF(H100&lt;TODAY()+60,3,IF(H100&lt;TODAY()+90,4,5)))))</f>
        <v/>
      </c>
      <c r="L100" s="29"/>
      <c r="M100" s="29"/>
      <c r="N100" s="29"/>
      <c r="O100" s="29"/>
      <c r="P100" s="28"/>
      <c r="Q100" s="28" t="str">
        <f aca="true">IF(H100="","",IF(H100&lt;TODAY(),"⛔ Cesser immédiatement l'emploi. Saisir préfecture en urgence.",IF(H100&lt;TODAY()+30,"🔴 Vérifier dépôt ANEF + obtenir récépissé sous 8 jours.",IF(H100&lt;TODAY()+60,"🟠 Déposer la demande sur ANEF maintenant (limite R. 431-5).",IF(H100&lt;TODAY()+90,"🟡 Préparer le dossier — convocation salarié sous 15 jours.","🟢 Aucune action immédiate. Réviser au prochain T-90.")))))</f>
        <v/>
      </c>
      <c r="R100" s="28"/>
    </row>
    <row r="101" customFormat="false" ht="30" hidden="false" customHeight="true" outlineLevel="0" collapsed="false">
      <c r="A101" s="27"/>
      <c r="B101" s="28"/>
      <c r="C101" s="28"/>
      <c r="D101" s="28"/>
      <c r="E101" s="28"/>
      <c r="F101" s="28"/>
      <c r="G101" s="28"/>
      <c r="H101" s="29"/>
      <c r="I101" s="30" t="str">
        <f aca="true">IF(H101="","",H101-TODAY())</f>
        <v/>
      </c>
      <c r="J101" s="31" t="str">
        <f aca="true">IF(H101="","",IF(H101&lt;TODAY(),"EXPIRÉ",IF(H101&lt;TODAY()+30,"CRITIQUE",IF(H101&lt;TODAY()+60,"URGENT",IF(H101&lt;TODAY()+90,"À LANCER","OK")))))</f>
        <v/>
      </c>
      <c r="K101" s="32" t="str">
        <f aca="true">IF(H101="","",IF(H101&lt;TODAY(),1,IF(H101&lt;TODAY()+30,2,IF(H101&lt;TODAY()+60,3,IF(H101&lt;TODAY()+90,4,5)))))</f>
        <v/>
      </c>
      <c r="L101" s="29"/>
      <c r="M101" s="29"/>
      <c r="N101" s="29"/>
      <c r="O101" s="29"/>
      <c r="P101" s="28"/>
      <c r="Q101" s="28" t="str">
        <f aca="true">IF(H101="","",IF(H101&lt;TODAY(),"⛔ Cesser immédiatement l'emploi. Saisir préfecture en urgence.",IF(H101&lt;TODAY()+30,"🔴 Vérifier dépôt ANEF + obtenir récépissé sous 8 jours.",IF(H101&lt;TODAY()+60,"🟠 Déposer la demande sur ANEF maintenant (limite R. 431-5).",IF(H101&lt;TODAY()+90,"🟡 Préparer le dossier — convocation salarié sous 15 jours.","🟢 Aucune action immédiate. Réviser au prochain T-90.")))))</f>
        <v/>
      </c>
      <c r="R101" s="28"/>
    </row>
    <row r="102" customFormat="false" ht="30" hidden="false" customHeight="true" outlineLevel="0" collapsed="false">
      <c r="A102" s="27"/>
      <c r="B102" s="28"/>
      <c r="C102" s="28"/>
      <c r="D102" s="28"/>
      <c r="E102" s="28"/>
      <c r="F102" s="28"/>
      <c r="G102" s="28"/>
      <c r="H102" s="29"/>
      <c r="I102" s="30" t="str">
        <f aca="true">IF(H102="","",H102-TODAY())</f>
        <v/>
      </c>
      <c r="J102" s="31" t="str">
        <f aca="true">IF(H102="","",IF(H102&lt;TODAY(),"EXPIRÉ",IF(H102&lt;TODAY()+30,"CRITIQUE",IF(H102&lt;TODAY()+60,"URGENT",IF(H102&lt;TODAY()+90,"À LANCER","OK")))))</f>
        <v/>
      </c>
      <c r="K102" s="32" t="str">
        <f aca="true">IF(H102="","",IF(H102&lt;TODAY(),1,IF(H102&lt;TODAY()+30,2,IF(H102&lt;TODAY()+60,3,IF(H102&lt;TODAY()+90,4,5)))))</f>
        <v/>
      </c>
      <c r="L102" s="29"/>
      <c r="M102" s="29"/>
      <c r="N102" s="29"/>
      <c r="O102" s="29"/>
      <c r="P102" s="28"/>
      <c r="Q102" s="28" t="str">
        <f aca="true">IF(H102="","",IF(H102&lt;TODAY(),"⛔ Cesser immédiatement l'emploi. Saisir préfecture en urgence.",IF(H102&lt;TODAY()+30,"🔴 Vérifier dépôt ANEF + obtenir récépissé sous 8 jours.",IF(H102&lt;TODAY()+60,"🟠 Déposer la demande sur ANEF maintenant (limite R. 431-5).",IF(H102&lt;TODAY()+90,"🟡 Préparer le dossier — convocation salarié sous 15 jours.","🟢 Aucune action immédiate. Réviser au prochain T-90.")))))</f>
        <v/>
      </c>
      <c r="R102" s="28"/>
    </row>
    <row r="103" customFormat="false" ht="30" hidden="false" customHeight="true" outlineLevel="0" collapsed="false">
      <c r="A103" s="27"/>
      <c r="B103" s="28"/>
      <c r="C103" s="28"/>
      <c r="D103" s="28"/>
      <c r="E103" s="28"/>
      <c r="F103" s="28"/>
      <c r="G103" s="28"/>
      <c r="H103" s="29"/>
      <c r="I103" s="30" t="str">
        <f aca="true">IF(H103="","",H103-TODAY())</f>
        <v/>
      </c>
      <c r="J103" s="31" t="str">
        <f aca="true">IF(H103="","",IF(H103&lt;TODAY(),"EXPIRÉ",IF(H103&lt;TODAY()+30,"CRITIQUE",IF(H103&lt;TODAY()+60,"URGENT",IF(H103&lt;TODAY()+90,"À LANCER","OK")))))</f>
        <v/>
      </c>
      <c r="K103" s="32" t="str">
        <f aca="true">IF(H103="","",IF(H103&lt;TODAY(),1,IF(H103&lt;TODAY()+30,2,IF(H103&lt;TODAY()+60,3,IF(H103&lt;TODAY()+90,4,5)))))</f>
        <v/>
      </c>
      <c r="L103" s="29"/>
      <c r="M103" s="29"/>
      <c r="N103" s="29"/>
      <c r="O103" s="29"/>
      <c r="P103" s="28"/>
      <c r="Q103" s="28" t="str">
        <f aca="true">IF(H103="","",IF(H103&lt;TODAY(),"⛔ Cesser immédiatement l'emploi. Saisir préfecture en urgence.",IF(H103&lt;TODAY()+30,"🔴 Vérifier dépôt ANEF + obtenir récépissé sous 8 jours.",IF(H103&lt;TODAY()+60,"🟠 Déposer la demande sur ANEF maintenant (limite R. 431-5).",IF(H103&lt;TODAY()+90,"🟡 Préparer le dossier — convocation salarié sous 15 jours.","🟢 Aucune action immédiate. Réviser au prochain T-90.")))))</f>
        <v/>
      </c>
      <c r="R103" s="28"/>
    </row>
  </sheetData>
  <mergeCells count="2">
    <mergeCell ref="A1:R1"/>
    <mergeCell ref="A2:R2"/>
  </mergeCells>
  <conditionalFormatting sqref="J5:J103">
    <cfRule type="expression" priority="2" aboveAverage="0" equalAverage="0" bottom="0" percent="0" rank="0" text="" dxfId="0">
      <formula>$J5="EXPIRÉ"</formula>
    </cfRule>
    <cfRule type="expression" priority="3" aboveAverage="0" equalAverage="0" bottom="0" percent="0" rank="0" text="" dxfId="1">
      <formula>$J5="CRITIQUE"</formula>
    </cfRule>
    <cfRule type="expression" priority="4" aboveAverage="0" equalAverage="0" bottom="0" percent="0" rank="0" text="" dxfId="2">
      <formula>$J5="URGENT"</formula>
    </cfRule>
    <cfRule type="expression" priority="5" aboveAverage="0" equalAverage="0" bottom="0" percent="0" rank="0" text="" dxfId="3">
      <formula>$J5="À LANCER"</formula>
    </cfRule>
    <cfRule type="expression" priority="6" aboveAverage="0" equalAverage="0" bottom="0" percent="0" rank="0" text="" dxfId="4">
      <formula>$J5="OK"</formula>
    </cfRule>
  </conditionalFormatting>
  <conditionalFormatting sqref="I5:I103">
    <cfRule type="expression" priority="7" aboveAverage="0" equalAverage="0" bottom="0" percent="0" rank="0" text="" dxfId="0">
      <formula>AND($I5&lt;&gt;"",$I5&lt;0)</formula>
    </cfRule>
    <cfRule type="expression" priority="8" aboveAverage="0" equalAverage="0" bottom="0" percent="0" rank="0" text="" dxfId="1">
      <formula>AND($I5&lt;&gt;"",$I5&gt;=0,$I5&lt;30)</formula>
    </cfRule>
    <cfRule type="expression" priority="9" aboveAverage="0" equalAverage="0" bottom="0" percent="0" rank="0" text="" dxfId="2">
      <formula>AND($I5&lt;&gt;"",$I5&gt;=30,$I5&lt;60)</formula>
    </cfRule>
    <cfRule type="expression" priority="10" aboveAverage="0" equalAverage="0" bottom="0" percent="0" rank="0" text="" dxfId="3">
      <formula>AND($I5&lt;&gt;"",$I5&gt;=60,$I5&lt;90)</formula>
    </cfRule>
    <cfRule type="expression" priority="11" aboveAverage="0" equalAverage="0" bottom="0" percent="0" rank="0" text="" dxfId="4">
      <formula>AND($I5&lt;&gt;"",$I5&gt;=90)</formula>
    </cfRule>
  </conditionalFormatting>
  <conditionalFormatting sqref="K5:K103">
    <cfRule type="colorScale" priority="12">
      <colorScale>
        <cfvo type="num" val="1"/>
        <cfvo type="num" val="3"/>
        <cfvo type="num" val="5"/>
        <color rgb="FF9B1C1C"/>
        <color rgb="FFF59F00"/>
        <color rgb="FF51CF66"/>
      </colorScale>
    </cfRule>
  </conditionalFormatting>
  <dataValidations count="2">
    <dataValidation allowBlank="true" errorStyle="stop" operator="between" showDropDown="false" showErrorMessage="false" showInputMessage="false" sqref="F5:F103" type="list">
      <formula1>Listes!$A$2:$A$24</formula1>
      <formula2>0</formula2>
    </dataValidation>
    <dataValidation allowBlank="true" errorStyle="stop" operator="between" showDropDown="false" showErrorMessage="false" showInputMessage="false" sqref="H5:H103 L5:O103" type="date">
      <formula1>0</formula1>
      <formula2>0</formula2>
    </dataValidation>
  </dataValidations>
  <printOptions headings="false" gridLines="false" gridLinesSet="true" horizontalCentered="true" verticalCentered="false"/>
  <pageMargins left="0.75" right="0.75" top="1" bottom="1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4" min="4" style="0" width="24"/>
    <col collapsed="false" customWidth="true" hidden="false" outlineLevel="0" max="5" min="5" style="0" width="12"/>
    <col collapsed="false" customWidth="true" hidden="false" outlineLevel="0" max="6" min="6" style="0" width="13"/>
    <col collapsed="false" customWidth="true" hidden="false" outlineLevel="0" max="7" min="7" style="0" width="45"/>
  </cols>
  <sheetData>
    <row r="1" customFormat="false" ht="27.75" hidden="false" customHeight="true" outlineLevel="0" collapsed="false">
      <c r="A1" s="23" t="s">
        <v>102</v>
      </c>
      <c r="B1" s="23"/>
      <c r="C1" s="23"/>
      <c r="D1" s="23"/>
      <c r="E1" s="23"/>
      <c r="F1" s="23"/>
      <c r="G1" s="23"/>
    </row>
    <row r="2" customFormat="false" ht="18" hidden="false" customHeight="true" outlineLevel="0" collapsed="false">
      <c r="A2" s="9" t="s">
        <v>103</v>
      </c>
      <c r="B2" s="9"/>
      <c r="C2" s="9"/>
      <c r="D2" s="9"/>
      <c r="E2" s="9"/>
      <c r="F2" s="9"/>
      <c r="G2" s="9"/>
    </row>
    <row r="4" customFormat="false" ht="30" hidden="false" customHeight="true" outlineLevel="0" collapsed="false">
      <c r="A4" s="26" t="s">
        <v>51</v>
      </c>
      <c r="B4" s="26" t="s">
        <v>104</v>
      </c>
      <c r="C4" s="26" t="s">
        <v>44</v>
      </c>
      <c r="D4" s="26" t="s">
        <v>105</v>
      </c>
      <c r="E4" s="26" t="s">
        <v>48</v>
      </c>
      <c r="F4" s="26" t="s">
        <v>49</v>
      </c>
      <c r="G4" s="26" t="s">
        <v>57</v>
      </c>
    </row>
    <row r="5" customFormat="false" ht="27.75" hidden="false" customHeight="true" outlineLevel="0" collapsed="false">
      <c r="A5" s="33" t="n">
        <f aca="false">IFERROR(SMALL(IF('Suivi dossiers'!$K$5:$K$103&lt;&gt;"",'Suivi dossiers'!$K$5:$K$103),1),"")</f>
        <v>5</v>
      </c>
      <c r="B5" s="34" t="str">
        <f aca="false">IFERROR(INDEX('Suivi dossiers'!$B$5:$B$103,MATCH(IFERROR(SMALL(IF('Suivi dossiers'!$I$5:$I$103&lt;&gt;"",'Suivi dossiers'!$I$5:$I$103),1),""),'Suivi dossiers'!$I$5:$I$103,0))&amp;" "&amp;INDEX('Suivi dossiers'!$C$5:$C$103,MATCH(IFERROR(SMALL(IF('Suivi dossiers'!$I$5:$I$103&lt;&gt;"",'Suivi dossiers'!$I$5:$I$103),1),""),'Suivi dossiers'!$I$5:$I$103,0)),"")</f>
        <v>KAMARA Ibrahim</v>
      </c>
      <c r="C5" s="34" t="str">
        <f aca="false">IFERROR(INDEX('Suivi dossiers'!$D$5:$D$103,MATCH(IFERROR(SMALL(IF('Suivi dossiers'!$I$5:$I$103&lt;&gt;"",'Suivi dossiers'!$I$5:$I$103),1),""),'Suivi dossiers'!$I$5:$I$103,0)),"")</f>
        <v>BTP - Marseille</v>
      </c>
      <c r="D5" s="34" t="str">
        <f aca="false">IFERROR(INDEX('Suivi dossiers'!$F$5:$F$103,MATCH(IFERROR(SMALL(IF('Suivi dossiers'!$I$5:$I$103&lt;&gt;"",'Suivi dossiers'!$I$5:$I$103),1),""),'Suivi dossiers'!$I$5:$I$103,0)),"")</f>
        <v>Salarié L. 421-1</v>
      </c>
      <c r="E5" s="35" t="str">
        <f aca="false">IFERROR(INDEX('Suivi dossiers'!$H$5:$H$103,MATCH(IFERROR(SMALL(IF('Suivi dossiers'!$I$5:$I$103&lt;&gt;"",'Suivi dossiers'!$I$5:$I$103),1),""),'Suivi dossiers'!$I$5:$I$103,0)),"")</f>
        <v>2026-05-20</v>
      </c>
      <c r="F5" s="30" t="n">
        <f aca="false">IFERROR(SMALL(IF('Suivi dossiers'!$I$5:$I$103&lt;&gt;"",'Suivi dossiers'!$I$5:$I$103),1),"")</f>
        <v>2</v>
      </c>
      <c r="G5" s="34" t="str">
        <f aca="false">IFERROR(INDEX('Suivi dossiers'!$Q$5:$Q$103,MATCH(IFERROR(SMALL(IF('Suivi dossiers'!$I$5:$I$103&lt;&gt;"",'Suivi dossiers'!$I$5:$I$103),1),""),'Suivi dossiers'!$I$5:$I$103,0)),"")</f>
        <v>🟢 Aucune action immédiate. Réviser au prochain T-90.</v>
      </c>
    </row>
    <row r="6" customFormat="false" ht="27.75" hidden="false" customHeight="true" outlineLevel="0" collapsed="false">
      <c r="A6" s="33" t="n">
        <f aca="false">IFERROR(SMALL(IF('Suivi dossiers'!$K$5:$K$103&lt;&gt;"",'Suivi dossiers'!$K$5:$K$103),2),"")</f>
        <v>5</v>
      </c>
      <c r="B6" s="34" t="str">
        <f aca="false">IFERROR(INDEX('Suivi dossiers'!$B$5:$B$103,MATCH(IFERROR(SMALL(IF('Suivi dossiers'!$I$5:$I$103&lt;&gt;"",'Suivi dossiers'!$I$5:$I$103),2),""),'Suivi dossiers'!$I$5:$I$103,0))&amp;" "&amp;INDEX('Suivi dossiers'!$C$5:$C$103,MATCH(IFERROR(SMALL(IF('Suivi dossiers'!$I$5:$I$103&lt;&gt;"",'Suivi dossiers'!$I$5:$I$103),2),""),'Suivi dossiers'!$I$5:$I$103,0)),"")</f>
        <v>OKONKWO Chinedu</v>
      </c>
      <c r="C6" s="34" t="str">
        <f aca="false">IFERROR(INDEX('Suivi dossiers'!$D$5:$D$103,MATCH(IFERROR(SMALL(IF('Suivi dossiers'!$I$5:$I$103&lt;&gt;"",'Suivi dossiers'!$I$5:$I$103),2),""),'Suivi dossiers'!$I$5:$I$103,0)),"")</f>
        <v>Restauration</v>
      </c>
      <c r="D6" s="34" t="str">
        <f aca="false">IFERROR(INDEX('Suivi dossiers'!$F$5:$F$103,MATCH(IFERROR(SMALL(IF('Suivi dossiers'!$I$5:$I$103&lt;&gt;"",'Suivi dossiers'!$I$5:$I$103),2),""),'Suivi dossiers'!$I$5:$I$103,0)),"")</f>
        <v>AES Travail (L. 435-4)</v>
      </c>
      <c r="E6" s="35" t="str">
        <f aca="false">IFERROR(INDEX('Suivi dossiers'!$H$5:$H$103,MATCH(IFERROR(SMALL(IF('Suivi dossiers'!$I$5:$I$103&lt;&gt;"",'Suivi dossiers'!$I$5:$I$103),2),""),'Suivi dossiers'!$I$5:$I$103,0)),"")</f>
        <v>2026-05-29</v>
      </c>
      <c r="F6" s="30" t="n">
        <f aca="false">IFERROR(SMALL(IF('Suivi dossiers'!$I$5:$I$103&lt;&gt;"",'Suivi dossiers'!$I$5:$I$103),2),"")</f>
        <v>11</v>
      </c>
      <c r="G6" s="34" t="str">
        <f aca="false">IFERROR(INDEX('Suivi dossiers'!$Q$5:$Q$103,MATCH(IFERROR(SMALL(IF('Suivi dossiers'!$I$5:$I$103&lt;&gt;"",'Suivi dossiers'!$I$5:$I$103),2),""),'Suivi dossiers'!$I$5:$I$103,0)),"")</f>
        <v>🟢 Aucune action immédiate. Réviser au prochain T-90.</v>
      </c>
    </row>
    <row r="7" customFormat="false" ht="27.75" hidden="false" customHeight="true" outlineLevel="0" collapsed="false">
      <c r="A7" s="33" t="n">
        <f aca="false">IFERROR(SMALL(IF('Suivi dossiers'!$K$5:$K$103&lt;&gt;"",'Suivi dossiers'!$K$5:$K$103),3),"")</f>
        <v>5</v>
      </c>
      <c r="B7" s="34" t="str">
        <f aca="false">IFERROR(INDEX('Suivi dossiers'!$B$5:$B$103,MATCH(IFERROR(SMALL(IF('Suivi dossiers'!$I$5:$I$103&lt;&gt;"",'Suivi dossiers'!$I$5:$I$103),3),""),'Suivi dossiers'!$I$5:$I$103,0))&amp;" "&amp;INDEX('Suivi dossiers'!$C$5:$C$103,MATCH(IFERROR(SMALL(IF('Suivi dossiers'!$I$5:$I$103&lt;&gt;"",'Suivi dossiers'!$I$5:$I$103),3),""),'Suivi dossiers'!$I$5:$I$103,0)),"")</f>
        <v>SILVA João</v>
      </c>
      <c r="C7" s="34" t="str">
        <f aca="false">IFERROR(INDEX('Suivi dossiers'!$D$5:$D$103,MATCH(IFERROR(SMALL(IF('Suivi dossiers'!$I$5:$I$103&lt;&gt;"",'Suivi dossiers'!$I$5:$I$103),3),""),'Suivi dossiers'!$I$5:$I$103,0)),"")</f>
        <v>BTP - Lyon</v>
      </c>
      <c r="D7" s="34" t="str">
        <f aca="false">IFERROR(INDEX('Suivi dossiers'!$F$5:$F$103,MATCH(IFERROR(SMALL(IF('Suivi dossiers'!$I$5:$I$103&lt;&gt;"",'Suivi dossiers'!$I$5:$I$103),3),""),'Suivi dossiers'!$I$5:$I$103,0)),"")</f>
        <v>Salarié L. 421-1</v>
      </c>
      <c r="E7" s="35" t="str">
        <f aca="false">IFERROR(INDEX('Suivi dossiers'!$H$5:$H$103,MATCH(IFERROR(SMALL(IF('Suivi dossiers'!$I$5:$I$103&lt;&gt;"",'Suivi dossiers'!$I$5:$I$103),3),""),'Suivi dossiers'!$I$5:$I$103,0)),"")</f>
        <v>2026-06-30</v>
      </c>
      <c r="F7" s="30" t="n">
        <f aca="false">IFERROR(SMALL(IF('Suivi dossiers'!$I$5:$I$103&lt;&gt;"",'Suivi dossiers'!$I$5:$I$103),3),"")</f>
        <v>43</v>
      </c>
      <c r="G7" s="34" t="str">
        <f aca="false">IFERROR(INDEX('Suivi dossiers'!$Q$5:$Q$103,MATCH(IFERROR(SMALL(IF('Suivi dossiers'!$I$5:$I$103&lt;&gt;"",'Suivi dossiers'!$I$5:$I$103),3),""),'Suivi dossiers'!$I$5:$I$103,0)),"")</f>
        <v>🟢 Aucune action immédiate. Réviser au prochain T-90.</v>
      </c>
    </row>
    <row r="8" customFormat="false" ht="27.75" hidden="false" customHeight="true" outlineLevel="0" collapsed="false">
      <c r="A8" s="33" t="n">
        <f aca="false">IFERROR(SMALL(IF('Suivi dossiers'!$K$5:$K$103&lt;&gt;"",'Suivi dossiers'!$K$5:$K$103),4),"")</f>
        <v>5</v>
      </c>
      <c r="B8" s="34" t="str">
        <f aca="false">IFERROR(INDEX('Suivi dossiers'!$B$5:$B$103,MATCH(IFERROR(SMALL(IF('Suivi dossiers'!$I$5:$I$103&lt;&gt;"",'Suivi dossiers'!$I$5:$I$103),4),""),'Suivi dossiers'!$I$5:$I$103,0))&amp;" "&amp;INDEX('Suivi dossiers'!$C$5:$C$103,MATCH(IFERROR(SMALL(IF('Suivi dossiers'!$I$5:$I$103&lt;&gt;"",'Suivi dossiers'!$I$5:$I$103),4),""),'Suivi dossiers'!$I$5:$I$103,0)),"")</f>
        <v>NDIAYE Awa Marie</v>
      </c>
      <c r="C8" s="34" t="str">
        <f aca="false">IFERROR(INDEX('Suivi dossiers'!$D$5:$D$103,MATCH(IFERROR(SMALL(IF('Suivi dossiers'!$I$5:$I$103&lt;&gt;"",'Suivi dossiers'!$I$5:$I$103),4),""),'Suivi dossiers'!$I$5:$I$103,0)),"")</f>
        <v>R&amp;D - Paris</v>
      </c>
      <c r="D8" s="34" t="str">
        <f aca="false">IFERROR(INDEX('Suivi dossiers'!$F$5:$F$103,MATCH(IFERROR(SMALL(IF('Suivi dossiers'!$I$5:$I$103&lt;&gt;"",'Suivi dossiers'!$I$5:$I$103),4),""),'Suivi dossiers'!$I$5:$I$103,0)),"")</f>
        <v>Passeport Talent — Salarié qualifié</v>
      </c>
      <c r="E8" s="35" t="str">
        <f aca="false">IFERROR(INDEX('Suivi dossiers'!$H$5:$H$103,MATCH(IFERROR(SMALL(IF('Suivi dossiers'!$I$5:$I$103&lt;&gt;"",'Suivi dossiers'!$I$5:$I$103),4),""),'Suivi dossiers'!$I$5:$I$103,0)),"")</f>
        <v>2026-08-15</v>
      </c>
      <c r="F8" s="30" t="n">
        <f aca="false">IFERROR(SMALL(IF('Suivi dossiers'!$I$5:$I$103&lt;&gt;"",'Suivi dossiers'!$I$5:$I$103),4),"")</f>
        <v>89</v>
      </c>
      <c r="G8" s="34" t="str">
        <f aca="false">IFERROR(INDEX('Suivi dossiers'!$Q$5:$Q$103,MATCH(IFERROR(SMALL(IF('Suivi dossiers'!$I$5:$I$103&lt;&gt;"",'Suivi dossiers'!$I$5:$I$103),4),""),'Suivi dossiers'!$I$5:$I$103,0)),"")</f>
        <v>🟢 Aucune action immédiate. Réviser au prochain T-90.</v>
      </c>
    </row>
    <row r="9" customFormat="false" ht="27.75" hidden="false" customHeight="true" outlineLevel="0" collapsed="false">
      <c r="A9" s="33" t="n">
        <f aca="false">IFERROR(SMALL(IF('Suivi dossiers'!$K$5:$K$103&lt;&gt;"",'Suivi dossiers'!$K$5:$K$103),5),"")</f>
        <v>5</v>
      </c>
      <c r="B9" s="34" t="str">
        <f aca="false">IFERROR(INDEX('Suivi dossiers'!$B$5:$B$103,MATCH(IFERROR(SMALL(IF('Suivi dossiers'!$I$5:$I$103&lt;&gt;"",'Suivi dossiers'!$I$5:$I$103),5),""),'Suivi dossiers'!$I$5:$I$103,0))&amp;" "&amp;INDEX('Suivi dossiers'!$C$5:$C$103,MATCH(IFERROR(SMALL(IF('Suivi dossiers'!$I$5:$I$103&lt;&gt;"",'Suivi dossiers'!$I$5:$I$103),5),""),'Suivi dossiers'!$I$5:$I$103,0)),"")</f>
        <v>WANG Mei</v>
      </c>
      <c r="C9" s="34" t="str">
        <f aca="false">IFERROR(INDEX('Suivi dossiers'!$D$5:$D$103,MATCH(IFERROR(SMALL(IF('Suivi dossiers'!$I$5:$I$103&lt;&gt;"",'Suivi dossiers'!$I$5:$I$103),5),""),'Suivi dossiers'!$I$5:$I$103,0)),"")</f>
        <v>Tech - Paris</v>
      </c>
      <c r="D9" s="34" t="str">
        <f aca="false">IFERROR(INDEX('Suivi dossiers'!$F$5:$F$103,MATCH(IFERROR(SMALL(IF('Suivi dossiers'!$I$5:$I$103&lt;&gt;"",'Suivi dossiers'!$I$5:$I$103),5),""),'Suivi dossiers'!$I$5:$I$103,0)),"")</f>
        <v>Passeport Talent — Salarié qualifié</v>
      </c>
      <c r="E9" s="35" t="str">
        <f aca="false">IFERROR(INDEX('Suivi dossiers'!$H$5:$H$103,MATCH(IFERROR(SMALL(IF('Suivi dossiers'!$I$5:$I$103&lt;&gt;"",'Suivi dossiers'!$I$5:$I$103),5),""),'Suivi dossiers'!$I$5:$I$103,0)),"")</f>
        <v>2027-03-10</v>
      </c>
      <c r="F9" s="30" t="n">
        <f aca="false">IFERROR(SMALL(IF('Suivi dossiers'!$I$5:$I$103&lt;&gt;"",'Suivi dossiers'!$I$5:$I$103),5),"")</f>
        <v>296</v>
      </c>
      <c r="G9" s="34" t="str">
        <f aca="false">IFERROR(INDEX('Suivi dossiers'!$Q$5:$Q$103,MATCH(IFERROR(SMALL(IF('Suivi dossiers'!$I$5:$I$103&lt;&gt;"",'Suivi dossiers'!$I$5:$I$103),5),""),'Suivi dossiers'!$I$5:$I$103,0)),"")</f>
        <v>🟢 Aucune action immédiate. Réviser au prochain T-90.</v>
      </c>
    </row>
    <row r="10" customFormat="false" ht="27.75" hidden="false" customHeight="true" outlineLevel="0" collapsed="false">
      <c r="A10" s="33" t="str">
        <f aca="false">IFERROR(SMALL(IF('Suivi dossiers'!$K$5:$K$103&lt;&gt;"",'Suivi dossiers'!$K$5:$K$103),6),"")</f>
        <v/>
      </c>
      <c r="B10" s="34" t="str">
        <f aca="false">IFERROR(INDEX('Suivi dossiers'!$B$5:$B$103,MATCH(IFERROR(SMALL(IF('Suivi dossiers'!$I$5:$I$103&lt;&gt;"",'Suivi dossiers'!$I$5:$I$103),6),""),'Suivi dossiers'!$I$5:$I$103,0))&amp;" "&amp;INDEX('Suivi dossiers'!$C$5:$C$103,MATCH(IFERROR(SMALL(IF('Suivi dossiers'!$I$5:$I$103&lt;&gt;"",'Suivi dossiers'!$I$5:$I$103),6),""),'Suivi dossiers'!$I$5:$I$103,0)),"")</f>
        <v> </v>
      </c>
      <c r="C10" s="34" t="n">
        <f aca="false">IFERROR(INDEX('Suivi dossiers'!$D$5:$D$103,MATCH(IFERROR(SMALL(IF('Suivi dossiers'!$I$5:$I$103&lt;&gt;"",'Suivi dossiers'!$I$5:$I$103),6),""),'Suivi dossiers'!$I$5:$I$103,0)),"")</f>
        <v>0</v>
      </c>
      <c r="D10" s="34" t="n">
        <f aca="false">IFERROR(INDEX('Suivi dossiers'!$F$5:$F$103,MATCH(IFERROR(SMALL(IF('Suivi dossiers'!$I$5:$I$103&lt;&gt;"",'Suivi dossiers'!$I$5:$I$103),6),""),'Suivi dossiers'!$I$5:$I$103,0)),"")</f>
        <v>0</v>
      </c>
      <c r="E10" s="35" t="n">
        <f aca="false">IFERROR(INDEX('Suivi dossiers'!$H$5:$H$103,MATCH(IFERROR(SMALL(IF('Suivi dossiers'!$I$5:$I$103&lt;&gt;"",'Suivi dossiers'!$I$5:$I$103),6),""),'Suivi dossiers'!$I$5:$I$103,0)),"")</f>
        <v>0</v>
      </c>
      <c r="F10" s="30" t="str">
        <f aca="false">IFERROR(SMALL(IF('Suivi dossiers'!$I$5:$I$103&lt;&gt;"",'Suivi dossiers'!$I$5:$I$103),6),"")</f>
        <v/>
      </c>
      <c r="G10" s="34" t="str">
        <f aca="false">IFERROR(INDEX('Suivi dossiers'!$Q$5:$Q$103,MATCH(IFERROR(SMALL(IF('Suivi dossiers'!$I$5:$I$103&lt;&gt;"",'Suivi dossiers'!$I$5:$I$103),6),""),'Suivi dossiers'!$I$5:$I$103,0)),"")</f>
        <v/>
      </c>
    </row>
    <row r="11" customFormat="false" ht="27.75" hidden="false" customHeight="true" outlineLevel="0" collapsed="false">
      <c r="A11" s="33" t="str">
        <f aca="false">IFERROR(SMALL(IF('Suivi dossiers'!$K$5:$K$103&lt;&gt;"",'Suivi dossiers'!$K$5:$K$103),7),"")</f>
        <v/>
      </c>
      <c r="B11" s="34" t="str">
        <f aca="false">IFERROR(INDEX('Suivi dossiers'!$B$5:$B$103,MATCH(IFERROR(SMALL(IF('Suivi dossiers'!$I$5:$I$103&lt;&gt;"",'Suivi dossiers'!$I$5:$I$103),7),""),'Suivi dossiers'!$I$5:$I$103,0))&amp;" "&amp;INDEX('Suivi dossiers'!$C$5:$C$103,MATCH(IFERROR(SMALL(IF('Suivi dossiers'!$I$5:$I$103&lt;&gt;"",'Suivi dossiers'!$I$5:$I$103),7),""),'Suivi dossiers'!$I$5:$I$103,0)),"")</f>
        <v> </v>
      </c>
      <c r="C11" s="34" t="n">
        <f aca="false">IFERROR(INDEX('Suivi dossiers'!$D$5:$D$103,MATCH(IFERROR(SMALL(IF('Suivi dossiers'!$I$5:$I$103&lt;&gt;"",'Suivi dossiers'!$I$5:$I$103),7),""),'Suivi dossiers'!$I$5:$I$103,0)),"")</f>
        <v>0</v>
      </c>
      <c r="D11" s="34" t="n">
        <f aca="false">IFERROR(INDEX('Suivi dossiers'!$F$5:$F$103,MATCH(IFERROR(SMALL(IF('Suivi dossiers'!$I$5:$I$103&lt;&gt;"",'Suivi dossiers'!$I$5:$I$103),7),""),'Suivi dossiers'!$I$5:$I$103,0)),"")</f>
        <v>0</v>
      </c>
      <c r="E11" s="35" t="n">
        <f aca="false">IFERROR(INDEX('Suivi dossiers'!$H$5:$H$103,MATCH(IFERROR(SMALL(IF('Suivi dossiers'!$I$5:$I$103&lt;&gt;"",'Suivi dossiers'!$I$5:$I$103),7),""),'Suivi dossiers'!$I$5:$I$103,0)),"")</f>
        <v>0</v>
      </c>
      <c r="F11" s="30" t="str">
        <f aca="false">IFERROR(SMALL(IF('Suivi dossiers'!$I$5:$I$103&lt;&gt;"",'Suivi dossiers'!$I$5:$I$103),7),"")</f>
        <v/>
      </c>
      <c r="G11" s="34" t="str">
        <f aca="false">IFERROR(INDEX('Suivi dossiers'!$Q$5:$Q$103,MATCH(IFERROR(SMALL(IF('Suivi dossiers'!$I$5:$I$103&lt;&gt;"",'Suivi dossiers'!$I$5:$I$103),7),""),'Suivi dossiers'!$I$5:$I$103,0)),"")</f>
        <v/>
      </c>
    </row>
    <row r="12" customFormat="false" ht="27.75" hidden="false" customHeight="true" outlineLevel="0" collapsed="false">
      <c r="A12" s="33" t="str">
        <f aca="false">IFERROR(SMALL(IF('Suivi dossiers'!$K$5:$K$103&lt;&gt;"",'Suivi dossiers'!$K$5:$K$103),8),"")</f>
        <v/>
      </c>
      <c r="B12" s="34" t="str">
        <f aca="false">IFERROR(INDEX('Suivi dossiers'!$B$5:$B$103,MATCH(IFERROR(SMALL(IF('Suivi dossiers'!$I$5:$I$103&lt;&gt;"",'Suivi dossiers'!$I$5:$I$103),8),""),'Suivi dossiers'!$I$5:$I$103,0))&amp;" "&amp;INDEX('Suivi dossiers'!$C$5:$C$103,MATCH(IFERROR(SMALL(IF('Suivi dossiers'!$I$5:$I$103&lt;&gt;"",'Suivi dossiers'!$I$5:$I$103),8),""),'Suivi dossiers'!$I$5:$I$103,0)),"")</f>
        <v> </v>
      </c>
      <c r="C12" s="34" t="n">
        <f aca="false">IFERROR(INDEX('Suivi dossiers'!$D$5:$D$103,MATCH(IFERROR(SMALL(IF('Suivi dossiers'!$I$5:$I$103&lt;&gt;"",'Suivi dossiers'!$I$5:$I$103),8),""),'Suivi dossiers'!$I$5:$I$103,0)),"")</f>
        <v>0</v>
      </c>
      <c r="D12" s="34" t="n">
        <f aca="false">IFERROR(INDEX('Suivi dossiers'!$F$5:$F$103,MATCH(IFERROR(SMALL(IF('Suivi dossiers'!$I$5:$I$103&lt;&gt;"",'Suivi dossiers'!$I$5:$I$103),8),""),'Suivi dossiers'!$I$5:$I$103,0)),"")</f>
        <v>0</v>
      </c>
      <c r="E12" s="35" t="n">
        <f aca="false">IFERROR(INDEX('Suivi dossiers'!$H$5:$H$103,MATCH(IFERROR(SMALL(IF('Suivi dossiers'!$I$5:$I$103&lt;&gt;"",'Suivi dossiers'!$I$5:$I$103),8),""),'Suivi dossiers'!$I$5:$I$103,0)),"")</f>
        <v>0</v>
      </c>
      <c r="F12" s="30" t="str">
        <f aca="false">IFERROR(SMALL(IF('Suivi dossiers'!$I$5:$I$103&lt;&gt;"",'Suivi dossiers'!$I$5:$I$103),8),"")</f>
        <v/>
      </c>
      <c r="G12" s="34" t="str">
        <f aca="false">IFERROR(INDEX('Suivi dossiers'!$Q$5:$Q$103,MATCH(IFERROR(SMALL(IF('Suivi dossiers'!$I$5:$I$103&lt;&gt;"",'Suivi dossiers'!$I$5:$I$103),8),""),'Suivi dossiers'!$I$5:$I$103,0)),"")</f>
        <v/>
      </c>
    </row>
    <row r="13" customFormat="false" ht="27.75" hidden="false" customHeight="true" outlineLevel="0" collapsed="false">
      <c r="A13" s="33" t="str">
        <f aca="false">IFERROR(SMALL(IF('Suivi dossiers'!$K$5:$K$103&lt;&gt;"",'Suivi dossiers'!$K$5:$K$103),9),"")</f>
        <v/>
      </c>
      <c r="B13" s="34" t="str">
        <f aca="false">IFERROR(INDEX('Suivi dossiers'!$B$5:$B$103,MATCH(IFERROR(SMALL(IF('Suivi dossiers'!$I$5:$I$103&lt;&gt;"",'Suivi dossiers'!$I$5:$I$103),9),""),'Suivi dossiers'!$I$5:$I$103,0))&amp;" "&amp;INDEX('Suivi dossiers'!$C$5:$C$103,MATCH(IFERROR(SMALL(IF('Suivi dossiers'!$I$5:$I$103&lt;&gt;"",'Suivi dossiers'!$I$5:$I$103),9),""),'Suivi dossiers'!$I$5:$I$103,0)),"")</f>
        <v> </v>
      </c>
      <c r="C13" s="34" t="n">
        <f aca="false">IFERROR(INDEX('Suivi dossiers'!$D$5:$D$103,MATCH(IFERROR(SMALL(IF('Suivi dossiers'!$I$5:$I$103&lt;&gt;"",'Suivi dossiers'!$I$5:$I$103),9),""),'Suivi dossiers'!$I$5:$I$103,0)),"")</f>
        <v>0</v>
      </c>
      <c r="D13" s="34" t="n">
        <f aca="false">IFERROR(INDEX('Suivi dossiers'!$F$5:$F$103,MATCH(IFERROR(SMALL(IF('Suivi dossiers'!$I$5:$I$103&lt;&gt;"",'Suivi dossiers'!$I$5:$I$103),9),""),'Suivi dossiers'!$I$5:$I$103,0)),"")</f>
        <v>0</v>
      </c>
      <c r="E13" s="35" t="n">
        <f aca="false">IFERROR(INDEX('Suivi dossiers'!$H$5:$H$103,MATCH(IFERROR(SMALL(IF('Suivi dossiers'!$I$5:$I$103&lt;&gt;"",'Suivi dossiers'!$I$5:$I$103),9),""),'Suivi dossiers'!$I$5:$I$103,0)),"")</f>
        <v>0</v>
      </c>
      <c r="F13" s="30" t="str">
        <f aca="false">IFERROR(SMALL(IF('Suivi dossiers'!$I$5:$I$103&lt;&gt;"",'Suivi dossiers'!$I$5:$I$103),9),"")</f>
        <v/>
      </c>
      <c r="G13" s="34" t="str">
        <f aca="false">IFERROR(INDEX('Suivi dossiers'!$Q$5:$Q$103,MATCH(IFERROR(SMALL(IF('Suivi dossiers'!$I$5:$I$103&lt;&gt;"",'Suivi dossiers'!$I$5:$I$103),9),""),'Suivi dossiers'!$I$5:$I$103,0)),"")</f>
        <v/>
      </c>
    </row>
    <row r="14" customFormat="false" ht="27.75" hidden="false" customHeight="true" outlineLevel="0" collapsed="false">
      <c r="A14" s="33" t="str">
        <f aca="false">IFERROR(SMALL(IF('Suivi dossiers'!$K$5:$K$103&lt;&gt;"",'Suivi dossiers'!$K$5:$K$103),10),"")</f>
        <v/>
      </c>
      <c r="B14" s="34" t="str">
        <f aca="false">IFERROR(INDEX('Suivi dossiers'!$B$5:$B$103,MATCH(IFERROR(SMALL(IF('Suivi dossiers'!$I$5:$I$103&lt;&gt;"",'Suivi dossiers'!$I$5:$I$103),10),""),'Suivi dossiers'!$I$5:$I$103,0))&amp;" "&amp;INDEX('Suivi dossiers'!$C$5:$C$103,MATCH(IFERROR(SMALL(IF('Suivi dossiers'!$I$5:$I$103&lt;&gt;"",'Suivi dossiers'!$I$5:$I$103),10),""),'Suivi dossiers'!$I$5:$I$103,0)),"")</f>
        <v> </v>
      </c>
      <c r="C14" s="34" t="n">
        <f aca="false">IFERROR(INDEX('Suivi dossiers'!$D$5:$D$103,MATCH(IFERROR(SMALL(IF('Suivi dossiers'!$I$5:$I$103&lt;&gt;"",'Suivi dossiers'!$I$5:$I$103),10),""),'Suivi dossiers'!$I$5:$I$103,0)),"")</f>
        <v>0</v>
      </c>
      <c r="D14" s="34" t="n">
        <f aca="false">IFERROR(INDEX('Suivi dossiers'!$F$5:$F$103,MATCH(IFERROR(SMALL(IF('Suivi dossiers'!$I$5:$I$103&lt;&gt;"",'Suivi dossiers'!$I$5:$I$103),10),""),'Suivi dossiers'!$I$5:$I$103,0)),"")</f>
        <v>0</v>
      </c>
      <c r="E14" s="35" t="n">
        <f aca="false">IFERROR(INDEX('Suivi dossiers'!$H$5:$H$103,MATCH(IFERROR(SMALL(IF('Suivi dossiers'!$I$5:$I$103&lt;&gt;"",'Suivi dossiers'!$I$5:$I$103),10),""),'Suivi dossiers'!$I$5:$I$103,0)),"")</f>
        <v>0</v>
      </c>
      <c r="F14" s="30" t="str">
        <f aca="false">IFERROR(SMALL(IF('Suivi dossiers'!$I$5:$I$103&lt;&gt;"",'Suivi dossiers'!$I$5:$I$103),10),"")</f>
        <v/>
      </c>
      <c r="G14" s="34" t="str">
        <f aca="false">IFERROR(INDEX('Suivi dossiers'!$Q$5:$Q$103,MATCH(IFERROR(SMALL(IF('Suivi dossiers'!$I$5:$I$103&lt;&gt;"",'Suivi dossiers'!$I$5:$I$103),10),""),'Suivi dossiers'!$I$5:$I$103,0)),"")</f>
        <v/>
      </c>
    </row>
    <row r="15" customFormat="false" ht="27.75" hidden="false" customHeight="true" outlineLevel="0" collapsed="false">
      <c r="A15" s="33" t="str">
        <f aca="false">IFERROR(SMALL(IF('Suivi dossiers'!$K$5:$K$103&lt;&gt;"",'Suivi dossiers'!$K$5:$K$103),11),"")</f>
        <v/>
      </c>
      <c r="B15" s="34" t="str">
        <f aca="false">IFERROR(INDEX('Suivi dossiers'!$B$5:$B$103,MATCH(IFERROR(SMALL(IF('Suivi dossiers'!$I$5:$I$103&lt;&gt;"",'Suivi dossiers'!$I$5:$I$103),11),""),'Suivi dossiers'!$I$5:$I$103,0))&amp;" "&amp;INDEX('Suivi dossiers'!$C$5:$C$103,MATCH(IFERROR(SMALL(IF('Suivi dossiers'!$I$5:$I$103&lt;&gt;"",'Suivi dossiers'!$I$5:$I$103),11),""),'Suivi dossiers'!$I$5:$I$103,0)),"")</f>
        <v> </v>
      </c>
      <c r="C15" s="34" t="n">
        <f aca="false">IFERROR(INDEX('Suivi dossiers'!$D$5:$D$103,MATCH(IFERROR(SMALL(IF('Suivi dossiers'!$I$5:$I$103&lt;&gt;"",'Suivi dossiers'!$I$5:$I$103),11),""),'Suivi dossiers'!$I$5:$I$103,0)),"")</f>
        <v>0</v>
      </c>
      <c r="D15" s="34" t="n">
        <f aca="false">IFERROR(INDEX('Suivi dossiers'!$F$5:$F$103,MATCH(IFERROR(SMALL(IF('Suivi dossiers'!$I$5:$I$103&lt;&gt;"",'Suivi dossiers'!$I$5:$I$103),11),""),'Suivi dossiers'!$I$5:$I$103,0)),"")</f>
        <v>0</v>
      </c>
      <c r="E15" s="35" t="n">
        <f aca="false">IFERROR(INDEX('Suivi dossiers'!$H$5:$H$103,MATCH(IFERROR(SMALL(IF('Suivi dossiers'!$I$5:$I$103&lt;&gt;"",'Suivi dossiers'!$I$5:$I$103),11),""),'Suivi dossiers'!$I$5:$I$103,0)),"")</f>
        <v>0</v>
      </c>
      <c r="F15" s="30" t="str">
        <f aca="false">IFERROR(SMALL(IF('Suivi dossiers'!$I$5:$I$103&lt;&gt;"",'Suivi dossiers'!$I$5:$I$103),11),"")</f>
        <v/>
      </c>
      <c r="G15" s="34" t="str">
        <f aca="false">IFERROR(INDEX('Suivi dossiers'!$Q$5:$Q$103,MATCH(IFERROR(SMALL(IF('Suivi dossiers'!$I$5:$I$103&lt;&gt;"",'Suivi dossiers'!$I$5:$I$103),11),""),'Suivi dossiers'!$I$5:$I$103,0)),"")</f>
        <v/>
      </c>
    </row>
    <row r="16" customFormat="false" ht="27.75" hidden="false" customHeight="true" outlineLevel="0" collapsed="false">
      <c r="A16" s="33" t="str">
        <f aca="false">IFERROR(SMALL(IF('Suivi dossiers'!$K$5:$K$103&lt;&gt;"",'Suivi dossiers'!$K$5:$K$103),12),"")</f>
        <v/>
      </c>
      <c r="B16" s="34" t="str">
        <f aca="false">IFERROR(INDEX('Suivi dossiers'!$B$5:$B$103,MATCH(IFERROR(SMALL(IF('Suivi dossiers'!$I$5:$I$103&lt;&gt;"",'Suivi dossiers'!$I$5:$I$103),12),""),'Suivi dossiers'!$I$5:$I$103,0))&amp;" "&amp;INDEX('Suivi dossiers'!$C$5:$C$103,MATCH(IFERROR(SMALL(IF('Suivi dossiers'!$I$5:$I$103&lt;&gt;"",'Suivi dossiers'!$I$5:$I$103),12),""),'Suivi dossiers'!$I$5:$I$103,0)),"")</f>
        <v> </v>
      </c>
      <c r="C16" s="34" t="n">
        <f aca="false">IFERROR(INDEX('Suivi dossiers'!$D$5:$D$103,MATCH(IFERROR(SMALL(IF('Suivi dossiers'!$I$5:$I$103&lt;&gt;"",'Suivi dossiers'!$I$5:$I$103),12),""),'Suivi dossiers'!$I$5:$I$103,0)),"")</f>
        <v>0</v>
      </c>
      <c r="D16" s="34" t="n">
        <f aca="false">IFERROR(INDEX('Suivi dossiers'!$F$5:$F$103,MATCH(IFERROR(SMALL(IF('Suivi dossiers'!$I$5:$I$103&lt;&gt;"",'Suivi dossiers'!$I$5:$I$103),12),""),'Suivi dossiers'!$I$5:$I$103,0)),"")</f>
        <v>0</v>
      </c>
      <c r="E16" s="35" t="n">
        <f aca="false">IFERROR(INDEX('Suivi dossiers'!$H$5:$H$103,MATCH(IFERROR(SMALL(IF('Suivi dossiers'!$I$5:$I$103&lt;&gt;"",'Suivi dossiers'!$I$5:$I$103),12),""),'Suivi dossiers'!$I$5:$I$103,0)),"")</f>
        <v>0</v>
      </c>
      <c r="F16" s="30" t="str">
        <f aca="false">IFERROR(SMALL(IF('Suivi dossiers'!$I$5:$I$103&lt;&gt;"",'Suivi dossiers'!$I$5:$I$103),12),"")</f>
        <v/>
      </c>
      <c r="G16" s="34" t="str">
        <f aca="false">IFERROR(INDEX('Suivi dossiers'!$Q$5:$Q$103,MATCH(IFERROR(SMALL(IF('Suivi dossiers'!$I$5:$I$103&lt;&gt;"",'Suivi dossiers'!$I$5:$I$103),12),""),'Suivi dossiers'!$I$5:$I$103,0)),"")</f>
        <v/>
      </c>
    </row>
    <row r="17" customFormat="false" ht="27.75" hidden="false" customHeight="true" outlineLevel="0" collapsed="false">
      <c r="A17" s="33" t="str">
        <f aca="false">IFERROR(SMALL(IF('Suivi dossiers'!$K$5:$K$103&lt;&gt;"",'Suivi dossiers'!$K$5:$K$103),13),"")</f>
        <v/>
      </c>
      <c r="B17" s="34" t="str">
        <f aca="false">IFERROR(INDEX('Suivi dossiers'!$B$5:$B$103,MATCH(IFERROR(SMALL(IF('Suivi dossiers'!$I$5:$I$103&lt;&gt;"",'Suivi dossiers'!$I$5:$I$103),13),""),'Suivi dossiers'!$I$5:$I$103,0))&amp;" "&amp;INDEX('Suivi dossiers'!$C$5:$C$103,MATCH(IFERROR(SMALL(IF('Suivi dossiers'!$I$5:$I$103&lt;&gt;"",'Suivi dossiers'!$I$5:$I$103),13),""),'Suivi dossiers'!$I$5:$I$103,0)),"")</f>
        <v> </v>
      </c>
      <c r="C17" s="34" t="n">
        <f aca="false">IFERROR(INDEX('Suivi dossiers'!$D$5:$D$103,MATCH(IFERROR(SMALL(IF('Suivi dossiers'!$I$5:$I$103&lt;&gt;"",'Suivi dossiers'!$I$5:$I$103),13),""),'Suivi dossiers'!$I$5:$I$103,0)),"")</f>
        <v>0</v>
      </c>
      <c r="D17" s="34" t="n">
        <f aca="false">IFERROR(INDEX('Suivi dossiers'!$F$5:$F$103,MATCH(IFERROR(SMALL(IF('Suivi dossiers'!$I$5:$I$103&lt;&gt;"",'Suivi dossiers'!$I$5:$I$103),13),""),'Suivi dossiers'!$I$5:$I$103,0)),"")</f>
        <v>0</v>
      </c>
      <c r="E17" s="35" t="n">
        <f aca="false">IFERROR(INDEX('Suivi dossiers'!$H$5:$H$103,MATCH(IFERROR(SMALL(IF('Suivi dossiers'!$I$5:$I$103&lt;&gt;"",'Suivi dossiers'!$I$5:$I$103),13),""),'Suivi dossiers'!$I$5:$I$103,0)),"")</f>
        <v>0</v>
      </c>
      <c r="F17" s="30" t="str">
        <f aca="false">IFERROR(SMALL(IF('Suivi dossiers'!$I$5:$I$103&lt;&gt;"",'Suivi dossiers'!$I$5:$I$103),13),"")</f>
        <v/>
      </c>
      <c r="G17" s="34" t="str">
        <f aca="false">IFERROR(INDEX('Suivi dossiers'!$Q$5:$Q$103,MATCH(IFERROR(SMALL(IF('Suivi dossiers'!$I$5:$I$103&lt;&gt;"",'Suivi dossiers'!$I$5:$I$103),13),""),'Suivi dossiers'!$I$5:$I$103,0)),"")</f>
        <v/>
      </c>
    </row>
    <row r="18" customFormat="false" ht="27.75" hidden="false" customHeight="true" outlineLevel="0" collapsed="false">
      <c r="A18" s="33" t="str">
        <f aca="false">IFERROR(SMALL(IF('Suivi dossiers'!$K$5:$K$103&lt;&gt;"",'Suivi dossiers'!$K$5:$K$103),14),"")</f>
        <v/>
      </c>
      <c r="B18" s="34" t="str">
        <f aca="false">IFERROR(INDEX('Suivi dossiers'!$B$5:$B$103,MATCH(IFERROR(SMALL(IF('Suivi dossiers'!$I$5:$I$103&lt;&gt;"",'Suivi dossiers'!$I$5:$I$103),14),""),'Suivi dossiers'!$I$5:$I$103,0))&amp;" "&amp;INDEX('Suivi dossiers'!$C$5:$C$103,MATCH(IFERROR(SMALL(IF('Suivi dossiers'!$I$5:$I$103&lt;&gt;"",'Suivi dossiers'!$I$5:$I$103),14),""),'Suivi dossiers'!$I$5:$I$103,0)),"")</f>
        <v> </v>
      </c>
      <c r="C18" s="34" t="n">
        <f aca="false">IFERROR(INDEX('Suivi dossiers'!$D$5:$D$103,MATCH(IFERROR(SMALL(IF('Suivi dossiers'!$I$5:$I$103&lt;&gt;"",'Suivi dossiers'!$I$5:$I$103),14),""),'Suivi dossiers'!$I$5:$I$103,0)),"")</f>
        <v>0</v>
      </c>
      <c r="D18" s="34" t="n">
        <f aca="false">IFERROR(INDEX('Suivi dossiers'!$F$5:$F$103,MATCH(IFERROR(SMALL(IF('Suivi dossiers'!$I$5:$I$103&lt;&gt;"",'Suivi dossiers'!$I$5:$I$103),14),""),'Suivi dossiers'!$I$5:$I$103,0)),"")</f>
        <v>0</v>
      </c>
      <c r="E18" s="35" t="n">
        <f aca="false">IFERROR(INDEX('Suivi dossiers'!$H$5:$H$103,MATCH(IFERROR(SMALL(IF('Suivi dossiers'!$I$5:$I$103&lt;&gt;"",'Suivi dossiers'!$I$5:$I$103),14),""),'Suivi dossiers'!$I$5:$I$103,0)),"")</f>
        <v>0</v>
      </c>
      <c r="F18" s="30" t="str">
        <f aca="false">IFERROR(SMALL(IF('Suivi dossiers'!$I$5:$I$103&lt;&gt;"",'Suivi dossiers'!$I$5:$I$103),14),"")</f>
        <v/>
      </c>
      <c r="G18" s="34" t="str">
        <f aca="false">IFERROR(INDEX('Suivi dossiers'!$Q$5:$Q$103,MATCH(IFERROR(SMALL(IF('Suivi dossiers'!$I$5:$I$103&lt;&gt;"",'Suivi dossiers'!$I$5:$I$103),14),""),'Suivi dossiers'!$I$5:$I$103,0)),"")</f>
        <v/>
      </c>
    </row>
    <row r="19" customFormat="false" ht="27.75" hidden="false" customHeight="true" outlineLevel="0" collapsed="false">
      <c r="A19" s="33" t="str">
        <f aca="false">IFERROR(SMALL(IF('Suivi dossiers'!$K$5:$K$103&lt;&gt;"",'Suivi dossiers'!$K$5:$K$103),15),"")</f>
        <v/>
      </c>
      <c r="B19" s="34" t="str">
        <f aca="false">IFERROR(INDEX('Suivi dossiers'!$B$5:$B$103,MATCH(IFERROR(SMALL(IF('Suivi dossiers'!$I$5:$I$103&lt;&gt;"",'Suivi dossiers'!$I$5:$I$103),15),""),'Suivi dossiers'!$I$5:$I$103,0))&amp;" "&amp;INDEX('Suivi dossiers'!$C$5:$C$103,MATCH(IFERROR(SMALL(IF('Suivi dossiers'!$I$5:$I$103&lt;&gt;"",'Suivi dossiers'!$I$5:$I$103),15),""),'Suivi dossiers'!$I$5:$I$103,0)),"")</f>
        <v> </v>
      </c>
      <c r="C19" s="34" t="n">
        <f aca="false">IFERROR(INDEX('Suivi dossiers'!$D$5:$D$103,MATCH(IFERROR(SMALL(IF('Suivi dossiers'!$I$5:$I$103&lt;&gt;"",'Suivi dossiers'!$I$5:$I$103),15),""),'Suivi dossiers'!$I$5:$I$103,0)),"")</f>
        <v>0</v>
      </c>
      <c r="D19" s="34" t="n">
        <f aca="false">IFERROR(INDEX('Suivi dossiers'!$F$5:$F$103,MATCH(IFERROR(SMALL(IF('Suivi dossiers'!$I$5:$I$103&lt;&gt;"",'Suivi dossiers'!$I$5:$I$103),15),""),'Suivi dossiers'!$I$5:$I$103,0)),"")</f>
        <v>0</v>
      </c>
      <c r="E19" s="35" t="n">
        <f aca="false">IFERROR(INDEX('Suivi dossiers'!$H$5:$H$103,MATCH(IFERROR(SMALL(IF('Suivi dossiers'!$I$5:$I$103&lt;&gt;"",'Suivi dossiers'!$I$5:$I$103),15),""),'Suivi dossiers'!$I$5:$I$103,0)),"")</f>
        <v>0</v>
      </c>
      <c r="F19" s="30" t="str">
        <f aca="false">IFERROR(SMALL(IF('Suivi dossiers'!$I$5:$I$103&lt;&gt;"",'Suivi dossiers'!$I$5:$I$103),15),"")</f>
        <v/>
      </c>
      <c r="G19" s="34" t="str">
        <f aca="false">IFERROR(INDEX('Suivi dossiers'!$Q$5:$Q$103,MATCH(IFERROR(SMALL(IF('Suivi dossiers'!$I$5:$I$103&lt;&gt;"",'Suivi dossiers'!$I$5:$I$103),15),""),'Suivi dossiers'!$I$5:$I$103,0)),"")</f>
        <v/>
      </c>
    </row>
    <row r="20" customFormat="false" ht="27.75" hidden="false" customHeight="true" outlineLevel="0" collapsed="false">
      <c r="A20" s="33" t="str">
        <f aca="false">IFERROR(SMALL(IF('Suivi dossiers'!$K$5:$K$103&lt;&gt;"",'Suivi dossiers'!$K$5:$K$103),16),"")</f>
        <v/>
      </c>
      <c r="B20" s="34" t="str">
        <f aca="false">IFERROR(INDEX('Suivi dossiers'!$B$5:$B$103,MATCH(IFERROR(SMALL(IF('Suivi dossiers'!$I$5:$I$103&lt;&gt;"",'Suivi dossiers'!$I$5:$I$103),16),""),'Suivi dossiers'!$I$5:$I$103,0))&amp;" "&amp;INDEX('Suivi dossiers'!$C$5:$C$103,MATCH(IFERROR(SMALL(IF('Suivi dossiers'!$I$5:$I$103&lt;&gt;"",'Suivi dossiers'!$I$5:$I$103),16),""),'Suivi dossiers'!$I$5:$I$103,0)),"")</f>
        <v> </v>
      </c>
      <c r="C20" s="34" t="n">
        <f aca="false">IFERROR(INDEX('Suivi dossiers'!$D$5:$D$103,MATCH(IFERROR(SMALL(IF('Suivi dossiers'!$I$5:$I$103&lt;&gt;"",'Suivi dossiers'!$I$5:$I$103),16),""),'Suivi dossiers'!$I$5:$I$103,0)),"")</f>
        <v>0</v>
      </c>
      <c r="D20" s="34" t="n">
        <f aca="false">IFERROR(INDEX('Suivi dossiers'!$F$5:$F$103,MATCH(IFERROR(SMALL(IF('Suivi dossiers'!$I$5:$I$103&lt;&gt;"",'Suivi dossiers'!$I$5:$I$103),16),""),'Suivi dossiers'!$I$5:$I$103,0)),"")</f>
        <v>0</v>
      </c>
      <c r="E20" s="35" t="n">
        <f aca="false">IFERROR(INDEX('Suivi dossiers'!$H$5:$H$103,MATCH(IFERROR(SMALL(IF('Suivi dossiers'!$I$5:$I$103&lt;&gt;"",'Suivi dossiers'!$I$5:$I$103),16),""),'Suivi dossiers'!$I$5:$I$103,0)),"")</f>
        <v>0</v>
      </c>
      <c r="F20" s="30" t="str">
        <f aca="false">IFERROR(SMALL(IF('Suivi dossiers'!$I$5:$I$103&lt;&gt;"",'Suivi dossiers'!$I$5:$I$103),16),"")</f>
        <v/>
      </c>
      <c r="G20" s="34" t="str">
        <f aca="false">IFERROR(INDEX('Suivi dossiers'!$Q$5:$Q$103,MATCH(IFERROR(SMALL(IF('Suivi dossiers'!$I$5:$I$103&lt;&gt;"",'Suivi dossiers'!$I$5:$I$103),16),""),'Suivi dossiers'!$I$5:$I$103,0)),"")</f>
        <v/>
      </c>
    </row>
    <row r="21" customFormat="false" ht="27.75" hidden="false" customHeight="true" outlineLevel="0" collapsed="false">
      <c r="A21" s="33" t="str">
        <f aca="false">IFERROR(SMALL(IF('Suivi dossiers'!$K$5:$K$103&lt;&gt;"",'Suivi dossiers'!$K$5:$K$103),17),"")</f>
        <v/>
      </c>
      <c r="B21" s="34" t="str">
        <f aca="false">IFERROR(INDEX('Suivi dossiers'!$B$5:$B$103,MATCH(IFERROR(SMALL(IF('Suivi dossiers'!$I$5:$I$103&lt;&gt;"",'Suivi dossiers'!$I$5:$I$103),17),""),'Suivi dossiers'!$I$5:$I$103,0))&amp;" "&amp;INDEX('Suivi dossiers'!$C$5:$C$103,MATCH(IFERROR(SMALL(IF('Suivi dossiers'!$I$5:$I$103&lt;&gt;"",'Suivi dossiers'!$I$5:$I$103),17),""),'Suivi dossiers'!$I$5:$I$103,0)),"")</f>
        <v> </v>
      </c>
      <c r="C21" s="34" t="n">
        <f aca="false">IFERROR(INDEX('Suivi dossiers'!$D$5:$D$103,MATCH(IFERROR(SMALL(IF('Suivi dossiers'!$I$5:$I$103&lt;&gt;"",'Suivi dossiers'!$I$5:$I$103),17),""),'Suivi dossiers'!$I$5:$I$103,0)),"")</f>
        <v>0</v>
      </c>
      <c r="D21" s="34" t="n">
        <f aca="false">IFERROR(INDEX('Suivi dossiers'!$F$5:$F$103,MATCH(IFERROR(SMALL(IF('Suivi dossiers'!$I$5:$I$103&lt;&gt;"",'Suivi dossiers'!$I$5:$I$103),17),""),'Suivi dossiers'!$I$5:$I$103,0)),"")</f>
        <v>0</v>
      </c>
      <c r="E21" s="35" t="n">
        <f aca="false">IFERROR(INDEX('Suivi dossiers'!$H$5:$H$103,MATCH(IFERROR(SMALL(IF('Suivi dossiers'!$I$5:$I$103&lt;&gt;"",'Suivi dossiers'!$I$5:$I$103),17),""),'Suivi dossiers'!$I$5:$I$103,0)),"")</f>
        <v>0</v>
      </c>
      <c r="F21" s="30" t="str">
        <f aca="false">IFERROR(SMALL(IF('Suivi dossiers'!$I$5:$I$103&lt;&gt;"",'Suivi dossiers'!$I$5:$I$103),17),"")</f>
        <v/>
      </c>
      <c r="G21" s="34" t="str">
        <f aca="false">IFERROR(INDEX('Suivi dossiers'!$Q$5:$Q$103,MATCH(IFERROR(SMALL(IF('Suivi dossiers'!$I$5:$I$103&lt;&gt;"",'Suivi dossiers'!$I$5:$I$103),17),""),'Suivi dossiers'!$I$5:$I$103,0)),"")</f>
        <v/>
      </c>
    </row>
    <row r="22" customFormat="false" ht="27.75" hidden="false" customHeight="true" outlineLevel="0" collapsed="false">
      <c r="A22" s="33" t="str">
        <f aca="false">IFERROR(SMALL(IF('Suivi dossiers'!$K$5:$K$103&lt;&gt;"",'Suivi dossiers'!$K$5:$K$103),18),"")</f>
        <v/>
      </c>
      <c r="B22" s="34" t="str">
        <f aca="false">IFERROR(INDEX('Suivi dossiers'!$B$5:$B$103,MATCH(IFERROR(SMALL(IF('Suivi dossiers'!$I$5:$I$103&lt;&gt;"",'Suivi dossiers'!$I$5:$I$103),18),""),'Suivi dossiers'!$I$5:$I$103,0))&amp;" "&amp;INDEX('Suivi dossiers'!$C$5:$C$103,MATCH(IFERROR(SMALL(IF('Suivi dossiers'!$I$5:$I$103&lt;&gt;"",'Suivi dossiers'!$I$5:$I$103),18),""),'Suivi dossiers'!$I$5:$I$103,0)),"")</f>
        <v> </v>
      </c>
      <c r="C22" s="34" t="n">
        <f aca="false">IFERROR(INDEX('Suivi dossiers'!$D$5:$D$103,MATCH(IFERROR(SMALL(IF('Suivi dossiers'!$I$5:$I$103&lt;&gt;"",'Suivi dossiers'!$I$5:$I$103),18),""),'Suivi dossiers'!$I$5:$I$103,0)),"")</f>
        <v>0</v>
      </c>
      <c r="D22" s="34" t="n">
        <f aca="false">IFERROR(INDEX('Suivi dossiers'!$F$5:$F$103,MATCH(IFERROR(SMALL(IF('Suivi dossiers'!$I$5:$I$103&lt;&gt;"",'Suivi dossiers'!$I$5:$I$103),18),""),'Suivi dossiers'!$I$5:$I$103,0)),"")</f>
        <v>0</v>
      </c>
      <c r="E22" s="35" t="n">
        <f aca="false">IFERROR(INDEX('Suivi dossiers'!$H$5:$H$103,MATCH(IFERROR(SMALL(IF('Suivi dossiers'!$I$5:$I$103&lt;&gt;"",'Suivi dossiers'!$I$5:$I$103),18),""),'Suivi dossiers'!$I$5:$I$103,0)),"")</f>
        <v>0</v>
      </c>
      <c r="F22" s="30" t="str">
        <f aca="false">IFERROR(SMALL(IF('Suivi dossiers'!$I$5:$I$103&lt;&gt;"",'Suivi dossiers'!$I$5:$I$103),18),"")</f>
        <v/>
      </c>
      <c r="G22" s="34" t="str">
        <f aca="false">IFERROR(INDEX('Suivi dossiers'!$Q$5:$Q$103,MATCH(IFERROR(SMALL(IF('Suivi dossiers'!$I$5:$I$103&lt;&gt;"",'Suivi dossiers'!$I$5:$I$103),18),""),'Suivi dossiers'!$I$5:$I$103,0)),"")</f>
        <v/>
      </c>
    </row>
    <row r="23" customFormat="false" ht="27.75" hidden="false" customHeight="true" outlineLevel="0" collapsed="false">
      <c r="A23" s="33" t="str">
        <f aca="false">IFERROR(SMALL(IF('Suivi dossiers'!$K$5:$K$103&lt;&gt;"",'Suivi dossiers'!$K$5:$K$103),19),"")</f>
        <v/>
      </c>
      <c r="B23" s="34" t="str">
        <f aca="false">IFERROR(INDEX('Suivi dossiers'!$B$5:$B$103,MATCH(IFERROR(SMALL(IF('Suivi dossiers'!$I$5:$I$103&lt;&gt;"",'Suivi dossiers'!$I$5:$I$103),19),""),'Suivi dossiers'!$I$5:$I$103,0))&amp;" "&amp;INDEX('Suivi dossiers'!$C$5:$C$103,MATCH(IFERROR(SMALL(IF('Suivi dossiers'!$I$5:$I$103&lt;&gt;"",'Suivi dossiers'!$I$5:$I$103),19),""),'Suivi dossiers'!$I$5:$I$103,0)),"")</f>
        <v> </v>
      </c>
      <c r="C23" s="34" t="n">
        <f aca="false">IFERROR(INDEX('Suivi dossiers'!$D$5:$D$103,MATCH(IFERROR(SMALL(IF('Suivi dossiers'!$I$5:$I$103&lt;&gt;"",'Suivi dossiers'!$I$5:$I$103),19),""),'Suivi dossiers'!$I$5:$I$103,0)),"")</f>
        <v>0</v>
      </c>
      <c r="D23" s="34" t="n">
        <f aca="false">IFERROR(INDEX('Suivi dossiers'!$F$5:$F$103,MATCH(IFERROR(SMALL(IF('Suivi dossiers'!$I$5:$I$103&lt;&gt;"",'Suivi dossiers'!$I$5:$I$103),19),""),'Suivi dossiers'!$I$5:$I$103,0)),"")</f>
        <v>0</v>
      </c>
      <c r="E23" s="35" t="n">
        <f aca="false">IFERROR(INDEX('Suivi dossiers'!$H$5:$H$103,MATCH(IFERROR(SMALL(IF('Suivi dossiers'!$I$5:$I$103&lt;&gt;"",'Suivi dossiers'!$I$5:$I$103),19),""),'Suivi dossiers'!$I$5:$I$103,0)),"")</f>
        <v>0</v>
      </c>
      <c r="F23" s="30" t="str">
        <f aca="false">IFERROR(SMALL(IF('Suivi dossiers'!$I$5:$I$103&lt;&gt;"",'Suivi dossiers'!$I$5:$I$103),19),"")</f>
        <v/>
      </c>
      <c r="G23" s="34" t="str">
        <f aca="false">IFERROR(INDEX('Suivi dossiers'!$Q$5:$Q$103,MATCH(IFERROR(SMALL(IF('Suivi dossiers'!$I$5:$I$103&lt;&gt;"",'Suivi dossiers'!$I$5:$I$103),19),""),'Suivi dossiers'!$I$5:$I$103,0)),"")</f>
        <v/>
      </c>
    </row>
    <row r="24" customFormat="false" ht="27.75" hidden="false" customHeight="true" outlineLevel="0" collapsed="false">
      <c r="A24" s="33" t="str">
        <f aca="false">IFERROR(SMALL(IF('Suivi dossiers'!$K$5:$K$103&lt;&gt;"",'Suivi dossiers'!$K$5:$K$103),20),"")</f>
        <v/>
      </c>
      <c r="B24" s="34" t="str">
        <f aca="false">IFERROR(INDEX('Suivi dossiers'!$B$5:$B$103,MATCH(IFERROR(SMALL(IF('Suivi dossiers'!$I$5:$I$103&lt;&gt;"",'Suivi dossiers'!$I$5:$I$103),20),""),'Suivi dossiers'!$I$5:$I$103,0))&amp;" "&amp;INDEX('Suivi dossiers'!$C$5:$C$103,MATCH(IFERROR(SMALL(IF('Suivi dossiers'!$I$5:$I$103&lt;&gt;"",'Suivi dossiers'!$I$5:$I$103),20),""),'Suivi dossiers'!$I$5:$I$103,0)),"")</f>
        <v> </v>
      </c>
      <c r="C24" s="34" t="n">
        <f aca="false">IFERROR(INDEX('Suivi dossiers'!$D$5:$D$103,MATCH(IFERROR(SMALL(IF('Suivi dossiers'!$I$5:$I$103&lt;&gt;"",'Suivi dossiers'!$I$5:$I$103),20),""),'Suivi dossiers'!$I$5:$I$103,0)),"")</f>
        <v>0</v>
      </c>
      <c r="D24" s="34" t="n">
        <f aca="false">IFERROR(INDEX('Suivi dossiers'!$F$5:$F$103,MATCH(IFERROR(SMALL(IF('Suivi dossiers'!$I$5:$I$103&lt;&gt;"",'Suivi dossiers'!$I$5:$I$103),20),""),'Suivi dossiers'!$I$5:$I$103,0)),"")</f>
        <v>0</v>
      </c>
      <c r="E24" s="35" t="n">
        <f aca="false">IFERROR(INDEX('Suivi dossiers'!$H$5:$H$103,MATCH(IFERROR(SMALL(IF('Suivi dossiers'!$I$5:$I$103&lt;&gt;"",'Suivi dossiers'!$I$5:$I$103),20),""),'Suivi dossiers'!$I$5:$I$103,0)),"")</f>
        <v>0</v>
      </c>
      <c r="F24" s="30" t="str">
        <f aca="false">IFERROR(SMALL(IF('Suivi dossiers'!$I$5:$I$103&lt;&gt;"",'Suivi dossiers'!$I$5:$I$103),20),"")</f>
        <v/>
      </c>
      <c r="G24" s="34" t="str">
        <f aca="false">IFERROR(INDEX('Suivi dossiers'!$Q$5:$Q$103,MATCH(IFERROR(SMALL(IF('Suivi dossiers'!$I$5:$I$103&lt;&gt;"",'Suivi dossiers'!$I$5:$I$103),20),""),'Suivi dossiers'!$I$5:$I$103,0)),"")</f>
        <v/>
      </c>
    </row>
    <row r="25" customFormat="false" ht="27.75" hidden="false" customHeight="true" outlineLevel="0" collapsed="false">
      <c r="A25" s="33" t="str">
        <f aca="false">IFERROR(SMALL(IF('Suivi dossiers'!$K$5:$K$103&lt;&gt;"",'Suivi dossiers'!$K$5:$K$103),21),"")</f>
        <v/>
      </c>
      <c r="B25" s="34" t="str">
        <f aca="false">IFERROR(INDEX('Suivi dossiers'!$B$5:$B$103,MATCH(IFERROR(SMALL(IF('Suivi dossiers'!$I$5:$I$103&lt;&gt;"",'Suivi dossiers'!$I$5:$I$103),21),""),'Suivi dossiers'!$I$5:$I$103,0))&amp;" "&amp;INDEX('Suivi dossiers'!$C$5:$C$103,MATCH(IFERROR(SMALL(IF('Suivi dossiers'!$I$5:$I$103&lt;&gt;"",'Suivi dossiers'!$I$5:$I$103),21),""),'Suivi dossiers'!$I$5:$I$103,0)),"")</f>
        <v> </v>
      </c>
      <c r="C25" s="34" t="n">
        <f aca="false">IFERROR(INDEX('Suivi dossiers'!$D$5:$D$103,MATCH(IFERROR(SMALL(IF('Suivi dossiers'!$I$5:$I$103&lt;&gt;"",'Suivi dossiers'!$I$5:$I$103),21),""),'Suivi dossiers'!$I$5:$I$103,0)),"")</f>
        <v>0</v>
      </c>
      <c r="D25" s="34" t="n">
        <f aca="false">IFERROR(INDEX('Suivi dossiers'!$F$5:$F$103,MATCH(IFERROR(SMALL(IF('Suivi dossiers'!$I$5:$I$103&lt;&gt;"",'Suivi dossiers'!$I$5:$I$103),21),""),'Suivi dossiers'!$I$5:$I$103,0)),"")</f>
        <v>0</v>
      </c>
      <c r="E25" s="35" t="n">
        <f aca="false">IFERROR(INDEX('Suivi dossiers'!$H$5:$H$103,MATCH(IFERROR(SMALL(IF('Suivi dossiers'!$I$5:$I$103&lt;&gt;"",'Suivi dossiers'!$I$5:$I$103),21),""),'Suivi dossiers'!$I$5:$I$103,0)),"")</f>
        <v>0</v>
      </c>
      <c r="F25" s="30" t="str">
        <f aca="false">IFERROR(SMALL(IF('Suivi dossiers'!$I$5:$I$103&lt;&gt;"",'Suivi dossiers'!$I$5:$I$103),21),"")</f>
        <v/>
      </c>
      <c r="G25" s="34" t="str">
        <f aca="false">IFERROR(INDEX('Suivi dossiers'!$Q$5:$Q$103,MATCH(IFERROR(SMALL(IF('Suivi dossiers'!$I$5:$I$103&lt;&gt;"",'Suivi dossiers'!$I$5:$I$103),21),""),'Suivi dossiers'!$I$5:$I$103,0)),"")</f>
        <v/>
      </c>
    </row>
    <row r="26" customFormat="false" ht="27.75" hidden="false" customHeight="true" outlineLevel="0" collapsed="false">
      <c r="A26" s="33" t="str">
        <f aca="false">IFERROR(SMALL(IF('Suivi dossiers'!$K$5:$K$103&lt;&gt;"",'Suivi dossiers'!$K$5:$K$103),22),"")</f>
        <v/>
      </c>
      <c r="B26" s="34" t="str">
        <f aca="false">IFERROR(INDEX('Suivi dossiers'!$B$5:$B$103,MATCH(IFERROR(SMALL(IF('Suivi dossiers'!$I$5:$I$103&lt;&gt;"",'Suivi dossiers'!$I$5:$I$103),22),""),'Suivi dossiers'!$I$5:$I$103,0))&amp;" "&amp;INDEX('Suivi dossiers'!$C$5:$C$103,MATCH(IFERROR(SMALL(IF('Suivi dossiers'!$I$5:$I$103&lt;&gt;"",'Suivi dossiers'!$I$5:$I$103),22),""),'Suivi dossiers'!$I$5:$I$103,0)),"")</f>
        <v> </v>
      </c>
      <c r="C26" s="34" t="n">
        <f aca="false">IFERROR(INDEX('Suivi dossiers'!$D$5:$D$103,MATCH(IFERROR(SMALL(IF('Suivi dossiers'!$I$5:$I$103&lt;&gt;"",'Suivi dossiers'!$I$5:$I$103),22),""),'Suivi dossiers'!$I$5:$I$103,0)),"")</f>
        <v>0</v>
      </c>
      <c r="D26" s="34" t="n">
        <f aca="false">IFERROR(INDEX('Suivi dossiers'!$F$5:$F$103,MATCH(IFERROR(SMALL(IF('Suivi dossiers'!$I$5:$I$103&lt;&gt;"",'Suivi dossiers'!$I$5:$I$103),22),""),'Suivi dossiers'!$I$5:$I$103,0)),"")</f>
        <v>0</v>
      </c>
      <c r="E26" s="35" t="n">
        <f aca="false">IFERROR(INDEX('Suivi dossiers'!$H$5:$H$103,MATCH(IFERROR(SMALL(IF('Suivi dossiers'!$I$5:$I$103&lt;&gt;"",'Suivi dossiers'!$I$5:$I$103),22),""),'Suivi dossiers'!$I$5:$I$103,0)),"")</f>
        <v>0</v>
      </c>
      <c r="F26" s="30" t="str">
        <f aca="false">IFERROR(SMALL(IF('Suivi dossiers'!$I$5:$I$103&lt;&gt;"",'Suivi dossiers'!$I$5:$I$103),22),"")</f>
        <v/>
      </c>
      <c r="G26" s="34" t="str">
        <f aca="false">IFERROR(INDEX('Suivi dossiers'!$Q$5:$Q$103,MATCH(IFERROR(SMALL(IF('Suivi dossiers'!$I$5:$I$103&lt;&gt;"",'Suivi dossiers'!$I$5:$I$103),22),""),'Suivi dossiers'!$I$5:$I$103,0)),"")</f>
        <v/>
      </c>
    </row>
    <row r="27" customFormat="false" ht="27.75" hidden="false" customHeight="true" outlineLevel="0" collapsed="false">
      <c r="A27" s="33" t="str">
        <f aca="false">IFERROR(SMALL(IF('Suivi dossiers'!$K$5:$K$103&lt;&gt;"",'Suivi dossiers'!$K$5:$K$103),23),"")</f>
        <v/>
      </c>
      <c r="B27" s="34" t="str">
        <f aca="false">IFERROR(INDEX('Suivi dossiers'!$B$5:$B$103,MATCH(IFERROR(SMALL(IF('Suivi dossiers'!$I$5:$I$103&lt;&gt;"",'Suivi dossiers'!$I$5:$I$103),23),""),'Suivi dossiers'!$I$5:$I$103,0))&amp;" "&amp;INDEX('Suivi dossiers'!$C$5:$C$103,MATCH(IFERROR(SMALL(IF('Suivi dossiers'!$I$5:$I$103&lt;&gt;"",'Suivi dossiers'!$I$5:$I$103),23),""),'Suivi dossiers'!$I$5:$I$103,0)),"")</f>
        <v> </v>
      </c>
      <c r="C27" s="34" t="n">
        <f aca="false">IFERROR(INDEX('Suivi dossiers'!$D$5:$D$103,MATCH(IFERROR(SMALL(IF('Suivi dossiers'!$I$5:$I$103&lt;&gt;"",'Suivi dossiers'!$I$5:$I$103),23),""),'Suivi dossiers'!$I$5:$I$103,0)),"")</f>
        <v>0</v>
      </c>
      <c r="D27" s="34" t="n">
        <f aca="false">IFERROR(INDEX('Suivi dossiers'!$F$5:$F$103,MATCH(IFERROR(SMALL(IF('Suivi dossiers'!$I$5:$I$103&lt;&gt;"",'Suivi dossiers'!$I$5:$I$103),23),""),'Suivi dossiers'!$I$5:$I$103,0)),"")</f>
        <v>0</v>
      </c>
      <c r="E27" s="35" t="n">
        <f aca="false">IFERROR(INDEX('Suivi dossiers'!$H$5:$H$103,MATCH(IFERROR(SMALL(IF('Suivi dossiers'!$I$5:$I$103&lt;&gt;"",'Suivi dossiers'!$I$5:$I$103),23),""),'Suivi dossiers'!$I$5:$I$103,0)),"")</f>
        <v>0</v>
      </c>
      <c r="F27" s="30" t="str">
        <f aca="false">IFERROR(SMALL(IF('Suivi dossiers'!$I$5:$I$103&lt;&gt;"",'Suivi dossiers'!$I$5:$I$103),23),"")</f>
        <v/>
      </c>
      <c r="G27" s="34" t="str">
        <f aca="false">IFERROR(INDEX('Suivi dossiers'!$Q$5:$Q$103,MATCH(IFERROR(SMALL(IF('Suivi dossiers'!$I$5:$I$103&lt;&gt;"",'Suivi dossiers'!$I$5:$I$103),23),""),'Suivi dossiers'!$I$5:$I$103,0)),"")</f>
        <v/>
      </c>
    </row>
    <row r="28" customFormat="false" ht="27.75" hidden="false" customHeight="true" outlineLevel="0" collapsed="false">
      <c r="A28" s="33" t="str">
        <f aca="false">IFERROR(SMALL(IF('Suivi dossiers'!$K$5:$K$103&lt;&gt;"",'Suivi dossiers'!$K$5:$K$103),24),"")</f>
        <v/>
      </c>
      <c r="B28" s="34" t="str">
        <f aca="false">IFERROR(INDEX('Suivi dossiers'!$B$5:$B$103,MATCH(IFERROR(SMALL(IF('Suivi dossiers'!$I$5:$I$103&lt;&gt;"",'Suivi dossiers'!$I$5:$I$103),24),""),'Suivi dossiers'!$I$5:$I$103,0))&amp;" "&amp;INDEX('Suivi dossiers'!$C$5:$C$103,MATCH(IFERROR(SMALL(IF('Suivi dossiers'!$I$5:$I$103&lt;&gt;"",'Suivi dossiers'!$I$5:$I$103),24),""),'Suivi dossiers'!$I$5:$I$103,0)),"")</f>
        <v> </v>
      </c>
      <c r="C28" s="34" t="n">
        <f aca="false">IFERROR(INDEX('Suivi dossiers'!$D$5:$D$103,MATCH(IFERROR(SMALL(IF('Suivi dossiers'!$I$5:$I$103&lt;&gt;"",'Suivi dossiers'!$I$5:$I$103),24),""),'Suivi dossiers'!$I$5:$I$103,0)),"")</f>
        <v>0</v>
      </c>
      <c r="D28" s="34" t="n">
        <f aca="false">IFERROR(INDEX('Suivi dossiers'!$F$5:$F$103,MATCH(IFERROR(SMALL(IF('Suivi dossiers'!$I$5:$I$103&lt;&gt;"",'Suivi dossiers'!$I$5:$I$103),24),""),'Suivi dossiers'!$I$5:$I$103,0)),"")</f>
        <v>0</v>
      </c>
      <c r="E28" s="35" t="n">
        <f aca="false">IFERROR(INDEX('Suivi dossiers'!$H$5:$H$103,MATCH(IFERROR(SMALL(IF('Suivi dossiers'!$I$5:$I$103&lt;&gt;"",'Suivi dossiers'!$I$5:$I$103),24),""),'Suivi dossiers'!$I$5:$I$103,0)),"")</f>
        <v>0</v>
      </c>
      <c r="F28" s="30" t="str">
        <f aca="false">IFERROR(SMALL(IF('Suivi dossiers'!$I$5:$I$103&lt;&gt;"",'Suivi dossiers'!$I$5:$I$103),24),"")</f>
        <v/>
      </c>
      <c r="G28" s="34" t="str">
        <f aca="false">IFERROR(INDEX('Suivi dossiers'!$Q$5:$Q$103,MATCH(IFERROR(SMALL(IF('Suivi dossiers'!$I$5:$I$103&lt;&gt;"",'Suivi dossiers'!$I$5:$I$103),24),""),'Suivi dossiers'!$I$5:$I$103,0)),"")</f>
        <v/>
      </c>
    </row>
    <row r="29" customFormat="false" ht="27.75" hidden="false" customHeight="true" outlineLevel="0" collapsed="false">
      <c r="A29" s="33" t="str">
        <f aca="false">IFERROR(SMALL(IF('Suivi dossiers'!$K$5:$K$103&lt;&gt;"",'Suivi dossiers'!$K$5:$K$103),25),"")</f>
        <v/>
      </c>
      <c r="B29" s="34" t="str">
        <f aca="false">IFERROR(INDEX('Suivi dossiers'!$B$5:$B$103,MATCH(IFERROR(SMALL(IF('Suivi dossiers'!$I$5:$I$103&lt;&gt;"",'Suivi dossiers'!$I$5:$I$103),25),""),'Suivi dossiers'!$I$5:$I$103,0))&amp;" "&amp;INDEX('Suivi dossiers'!$C$5:$C$103,MATCH(IFERROR(SMALL(IF('Suivi dossiers'!$I$5:$I$103&lt;&gt;"",'Suivi dossiers'!$I$5:$I$103),25),""),'Suivi dossiers'!$I$5:$I$103,0)),"")</f>
        <v> </v>
      </c>
      <c r="C29" s="34" t="n">
        <f aca="false">IFERROR(INDEX('Suivi dossiers'!$D$5:$D$103,MATCH(IFERROR(SMALL(IF('Suivi dossiers'!$I$5:$I$103&lt;&gt;"",'Suivi dossiers'!$I$5:$I$103),25),""),'Suivi dossiers'!$I$5:$I$103,0)),"")</f>
        <v>0</v>
      </c>
      <c r="D29" s="34" t="n">
        <f aca="false">IFERROR(INDEX('Suivi dossiers'!$F$5:$F$103,MATCH(IFERROR(SMALL(IF('Suivi dossiers'!$I$5:$I$103&lt;&gt;"",'Suivi dossiers'!$I$5:$I$103),25),""),'Suivi dossiers'!$I$5:$I$103,0)),"")</f>
        <v>0</v>
      </c>
      <c r="E29" s="35" t="n">
        <f aca="false">IFERROR(INDEX('Suivi dossiers'!$H$5:$H$103,MATCH(IFERROR(SMALL(IF('Suivi dossiers'!$I$5:$I$103&lt;&gt;"",'Suivi dossiers'!$I$5:$I$103),25),""),'Suivi dossiers'!$I$5:$I$103,0)),"")</f>
        <v>0</v>
      </c>
      <c r="F29" s="30" t="str">
        <f aca="false">IFERROR(SMALL(IF('Suivi dossiers'!$I$5:$I$103&lt;&gt;"",'Suivi dossiers'!$I$5:$I$103),25),"")</f>
        <v/>
      </c>
      <c r="G29" s="34" t="str">
        <f aca="false">IFERROR(INDEX('Suivi dossiers'!$Q$5:$Q$103,MATCH(IFERROR(SMALL(IF('Suivi dossiers'!$I$5:$I$103&lt;&gt;"",'Suivi dossiers'!$I$5:$I$103),25),""),'Suivi dossiers'!$I$5:$I$103,0)),"")</f>
        <v/>
      </c>
    </row>
    <row r="30" customFormat="false" ht="27.75" hidden="false" customHeight="true" outlineLevel="0" collapsed="false">
      <c r="A30" s="33" t="str">
        <f aca="false">IFERROR(SMALL(IF('Suivi dossiers'!$K$5:$K$103&lt;&gt;"",'Suivi dossiers'!$K$5:$K$103),26),"")</f>
        <v/>
      </c>
      <c r="B30" s="34" t="str">
        <f aca="false">IFERROR(INDEX('Suivi dossiers'!$B$5:$B$103,MATCH(IFERROR(SMALL(IF('Suivi dossiers'!$I$5:$I$103&lt;&gt;"",'Suivi dossiers'!$I$5:$I$103),26),""),'Suivi dossiers'!$I$5:$I$103,0))&amp;" "&amp;INDEX('Suivi dossiers'!$C$5:$C$103,MATCH(IFERROR(SMALL(IF('Suivi dossiers'!$I$5:$I$103&lt;&gt;"",'Suivi dossiers'!$I$5:$I$103),26),""),'Suivi dossiers'!$I$5:$I$103,0)),"")</f>
        <v> </v>
      </c>
      <c r="C30" s="34" t="n">
        <f aca="false">IFERROR(INDEX('Suivi dossiers'!$D$5:$D$103,MATCH(IFERROR(SMALL(IF('Suivi dossiers'!$I$5:$I$103&lt;&gt;"",'Suivi dossiers'!$I$5:$I$103),26),""),'Suivi dossiers'!$I$5:$I$103,0)),"")</f>
        <v>0</v>
      </c>
      <c r="D30" s="34" t="n">
        <f aca="false">IFERROR(INDEX('Suivi dossiers'!$F$5:$F$103,MATCH(IFERROR(SMALL(IF('Suivi dossiers'!$I$5:$I$103&lt;&gt;"",'Suivi dossiers'!$I$5:$I$103),26),""),'Suivi dossiers'!$I$5:$I$103,0)),"")</f>
        <v>0</v>
      </c>
      <c r="E30" s="35" t="n">
        <f aca="false">IFERROR(INDEX('Suivi dossiers'!$H$5:$H$103,MATCH(IFERROR(SMALL(IF('Suivi dossiers'!$I$5:$I$103&lt;&gt;"",'Suivi dossiers'!$I$5:$I$103),26),""),'Suivi dossiers'!$I$5:$I$103,0)),"")</f>
        <v>0</v>
      </c>
      <c r="F30" s="30" t="str">
        <f aca="false">IFERROR(SMALL(IF('Suivi dossiers'!$I$5:$I$103&lt;&gt;"",'Suivi dossiers'!$I$5:$I$103),26),"")</f>
        <v/>
      </c>
      <c r="G30" s="34" t="str">
        <f aca="false">IFERROR(INDEX('Suivi dossiers'!$Q$5:$Q$103,MATCH(IFERROR(SMALL(IF('Suivi dossiers'!$I$5:$I$103&lt;&gt;"",'Suivi dossiers'!$I$5:$I$103),26),""),'Suivi dossiers'!$I$5:$I$103,0)),"")</f>
        <v/>
      </c>
    </row>
    <row r="31" customFormat="false" ht="27.75" hidden="false" customHeight="true" outlineLevel="0" collapsed="false">
      <c r="A31" s="33" t="str">
        <f aca="false">IFERROR(SMALL(IF('Suivi dossiers'!$K$5:$K$103&lt;&gt;"",'Suivi dossiers'!$K$5:$K$103),27),"")</f>
        <v/>
      </c>
      <c r="B31" s="34" t="str">
        <f aca="false">IFERROR(INDEX('Suivi dossiers'!$B$5:$B$103,MATCH(IFERROR(SMALL(IF('Suivi dossiers'!$I$5:$I$103&lt;&gt;"",'Suivi dossiers'!$I$5:$I$103),27),""),'Suivi dossiers'!$I$5:$I$103,0))&amp;" "&amp;INDEX('Suivi dossiers'!$C$5:$C$103,MATCH(IFERROR(SMALL(IF('Suivi dossiers'!$I$5:$I$103&lt;&gt;"",'Suivi dossiers'!$I$5:$I$103),27),""),'Suivi dossiers'!$I$5:$I$103,0)),"")</f>
        <v> </v>
      </c>
      <c r="C31" s="34" t="n">
        <f aca="false">IFERROR(INDEX('Suivi dossiers'!$D$5:$D$103,MATCH(IFERROR(SMALL(IF('Suivi dossiers'!$I$5:$I$103&lt;&gt;"",'Suivi dossiers'!$I$5:$I$103),27),""),'Suivi dossiers'!$I$5:$I$103,0)),"")</f>
        <v>0</v>
      </c>
      <c r="D31" s="34" t="n">
        <f aca="false">IFERROR(INDEX('Suivi dossiers'!$F$5:$F$103,MATCH(IFERROR(SMALL(IF('Suivi dossiers'!$I$5:$I$103&lt;&gt;"",'Suivi dossiers'!$I$5:$I$103),27),""),'Suivi dossiers'!$I$5:$I$103,0)),"")</f>
        <v>0</v>
      </c>
      <c r="E31" s="35" t="n">
        <f aca="false">IFERROR(INDEX('Suivi dossiers'!$H$5:$H$103,MATCH(IFERROR(SMALL(IF('Suivi dossiers'!$I$5:$I$103&lt;&gt;"",'Suivi dossiers'!$I$5:$I$103),27),""),'Suivi dossiers'!$I$5:$I$103,0)),"")</f>
        <v>0</v>
      </c>
      <c r="F31" s="30" t="str">
        <f aca="false">IFERROR(SMALL(IF('Suivi dossiers'!$I$5:$I$103&lt;&gt;"",'Suivi dossiers'!$I$5:$I$103),27),"")</f>
        <v/>
      </c>
      <c r="G31" s="34" t="str">
        <f aca="false">IFERROR(INDEX('Suivi dossiers'!$Q$5:$Q$103,MATCH(IFERROR(SMALL(IF('Suivi dossiers'!$I$5:$I$103&lt;&gt;"",'Suivi dossiers'!$I$5:$I$103),27),""),'Suivi dossiers'!$I$5:$I$103,0)),"")</f>
        <v/>
      </c>
    </row>
    <row r="32" customFormat="false" ht="27.75" hidden="false" customHeight="true" outlineLevel="0" collapsed="false">
      <c r="A32" s="33" t="str">
        <f aca="false">IFERROR(SMALL(IF('Suivi dossiers'!$K$5:$K$103&lt;&gt;"",'Suivi dossiers'!$K$5:$K$103),28),"")</f>
        <v/>
      </c>
      <c r="B32" s="34" t="str">
        <f aca="false">IFERROR(INDEX('Suivi dossiers'!$B$5:$B$103,MATCH(IFERROR(SMALL(IF('Suivi dossiers'!$I$5:$I$103&lt;&gt;"",'Suivi dossiers'!$I$5:$I$103),28),""),'Suivi dossiers'!$I$5:$I$103,0))&amp;" "&amp;INDEX('Suivi dossiers'!$C$5:$C$103,MATCH(IFERROR(SMALL(IF('Suivi dossiers'!$I$5:$I$103&lt;&gt;"",'Suivi dossiers'!$I$5:$I$103),28),""),'Suivi dossiers'!$I$5:$I$103,0)),"")</f>
        <v> </v>
      </c>
      <c r="C32" s="34" t="n">
        <f aca="false">IFERROR(INDEX('Suivi dossiers'!$D$5:$D$103,MATCH(IFERROR(SMALL(IF('Suivi dossiers'!$I$5:$I$103&lt;&gt;"",'Suivi dossiers'!$I$5:$I$103),28),""),'Suivi dossiers'!$I$5:$I$103,0)),"")</f>
        <v>0</v>
      </c>
      <c r="D32" s="34" t="n">
        <f aca="false">IFERROR(INDEX('Suivi dossiers'!$F$5:$F$103,MATCH(IFERROR(SMALL(IF('Suivi dossiers'!$I$5:$I$103&lt;&gt;"",'Suivi dossiers'!$I$5:$I$103),28),""),'Suivi dossiers'!$I$5:$I$103,0)),"")</f>
        <v>0</v>
      </c>
      <c r="E32" s="35" t="n">
        <f aca="false">IFERROR(INDEX('Suivi dossiers'!$H$5:$H$103,MATCH(IFERROR(SMALL(IF('Suivi dossiers'!$I$5:$I$103&lt;&gt;"",'Suivi dossiers'!$I$5:$I$103),28),""),'Suivi dossiers'!$I$5:$I$103,0)),"")</f>
        <v>0</v>
      </c>
      <c r="F32" s="30" t="str">
        <f aca="false">IFERROR(SMALL(IF('Suivi dossiers'!$I$5:$I$103&lt;&gt;"",'Suivi dossiers'!$I$5:$I$103),28),"")</f>
        <v/>
      </c>
      <c r="G32" s="34" t="str">
        <f aca="false">IFERROR(INDEX('Suivi dossiers'!$Q$5:$Q$103,MATCH(IFERROR(SMALL(IF('Suivi dossiers'!$I$5:$I$103&lt;&gt;"",'Suivi dossiers'!$I$5:$I$103),28),""),'Suivi dossiers'!$I$5:$I$103,0)),"")</f>
        <v/>
      </c>
    </row>
    <row r="33" customFormat="false" ht="27.75" hidden="false" customHeight="true" outlineLevel="0" collapsed="false">
      <c r="A33" s="33" t="str">
        <f aca="false">IFERROR(SMALL(IF('Suivi dossiers'!$K$5:$K$103&lt;&gt;"",'Suivi dossiers'!$K$5:$K$103),29),"")</f>
        <v/>
      </c>
      <c r="B33" s="34" t="str">
        <f aca="false">IFERROR(INDEX('Suivi dossiers'!$B$5:$B$103,MATCH(IFERROR(SMALL(IF('Suivi dossiers'!$I$5:$I$103&lt;&gt;"",'Suivi dossiers'!$I$5:$I$103),29),""),'Suivi dossiers'!$I$5:$I$103,0))&amp;" "&amp;INDEX('Suivi dossiers'!$C$5:$C$103,MATCH(IFERROR(SMALL(IF('Suivi dossiers'!$I$5:$I$103&lt;&gt;"",'Suivi dossiers'!$I$5:$I$103),29),""),'Suivi dossiers'!$I$5:$I$103,0)),"")</f>
        <v> </v>
      </c>
      <c r="C33" s="34" t="n">
        <f aca="false">IFERROR(INDEX('Suivi dossiers'!$D$5:$D$103,MATCH(IFERROR(SMALL(IF('Suivi dossiers'!$I$5:$I$103&lt;&gt;"",'Suivi dossiers'!$I$5:$I$103),29),""),'Suivi dossiers'!$I$5:$I$103,0)),"")</f>
        <v>0</v>
      </c>
      <c r="D33" s="34" t="n">
        <f aca="false">IFERROR(INDEX('Suivi dossiers'!$F$5:$F$103,MATCH(IFERROR(SMALL(IF('Suivi dossiers'!$I$5:$I$103&lt;&gt;"",'Suivi dossiers'!$I$5:$I$103),29),""),'Suivi dossiers'!$I$5:$I$103,0)),"")</f>
        <v>0</v>
      </c>
      <c r="E33" s="35" t="n">
        <f aca="false">IFERROR(INDEX('Suivi dossiers'!$H$5:$H$103,MATCH(IFERROR(SMALL(IF('Suivi dossiers'!$I$5:$I$103&lt;&gt;"",'Suivi dossiers'!$I$5:$I$103),29),""),'Suivi dossiers'!$I$5:$I$103,0)),"")</f>
        <v>0</v>
      </c>
      <c r="F33" s="30" t="str">
        <f aca="false">IFERROR(SMALL(IF('Suivi dossiers'!$I$5:$I$103&lt;&gt;"",'Suivi dossiers'!$I$5:$I$103),29),"")</f>
        <v/>
      </c>
      <c r="G33" s="34" t="str">
        <f aca="false">IFERROR(INDEX('Suivi dossiers'!$Q$5:$Q$103,MATCH(IFERROR(SMALL(IF('Suivi dossiers'!$I$5:$I$103&lt;&gt;"",'Suivi dossiers'!$I$5:$I$103),29),""),'Suivi dossiers'!$I$5:$I$103,0)),"")</f>
        <v/>
      </c>
    </row>
    <row r="34" customFormat="false" ht="27.75" hidden="false" customHeight="true" outlineLevel="0" collapsed="false">
      <c r="A34" s="33" t="str">
        <f aca="false">IFERROR(SMALL(IF('Suivi dossiers'!$K$5:$K$103&lt;&gt;"",'Suivi dossiers'!$K$5:$K$103),30),"")</f>
        <v/>
      </c>
      <c r="B34" s="34" t="str">
        <f aca="false">IFERROR(INDEX('Suivi dossiers'!$B$5:$B$103,MATCH(IFERROR(SMALL(IF('Suivi dossiers'!$I$5:$I$103&lt;&gt;"",'Suivi dossiers'!$I$5:$I$103),30),""),'Suivi dossiers'!$I$5:$I$103,0))&amp;" "&amp;INDEX('Suivi dossiers'!$C$5:$C$103,MATCH(IFERROR(SMALL(IF('Suivi dossiers'!$I$5:$I$103&lt;&gt;"",'Suivi dossiers'!$I$5:$I$103),30),""),'Suivi dossiers'!$I$5:$I$103,0)),"")</f>
        <v> </v>
      </c>
      <c r="C34" s="34" t="n">
        <f aca="false">IFERROR(INDEX('Suivi dossiers'!$D$5:$D$103,MATCH(IFERROR(SMALL(IF('Suivi dossiers'!$I$5:$I$103&lt;&gt;"",'Suivi dossiers'!$I$5:$I$103),30),""),'Suivi dossiers'!$I$5:$I$103,0)),"")</f>
        <v>0</v>
      </c>
      <c r="D34" s="34" t="n">
        <f aca="false">IFERROR(INDEX('Suivi dossiers'!$F$5:$F$103,MATCH(IFERROR(SMALL(IF('Suivi dossiers'!$I$5:$I$103&lt;&gt;"",'Suivi dossiers'!$I$5:$I$103),30),""),'Suivi dossiers'!$I$5:$I$103,0)),"")</f>
        <v>0</v>
      </c>
      <c r="E34" s="35" t="n">
        <f aca="false">IFERROR(INDEX('Suivi dossiers'!$H$5:$H$103,MATCH(IFERROR(SMALL(IF('Suivi dossiers'!$I$5:$I$103&lt;&gt;"",'Suivi dossiers'!$I$5:$I$103),30),""),'Suivi dossiers'!$I$5:$I$103,0)),"")</f>
        <v>0</v>
      </c>
      <c r="F34" s="30" t="str">
        <f aca="false">IFERROR(SMALL(IF('Suivi dossiers'!$I$5:$I$103&lt;&gt;"",'Suivi dossiers'!$I$5:$I$103),30),"")</f>
        <v/>
      </c>
      <c r="G34" s="34" t="str">
        <f aca="false">IFERROR(INDEX('Suivi dossiers'!$Q$5:$Q$103,MATCH(IFERROR(SMALL(IF('Suivi dossiers'!$I$5:$I$103&lt;&gt;"",'Suivi dossiers'!$I$5:$I$103),30),""),'Suivi dossiers'!$I$5:$I$103,0)),"")</f>
        <v/>
      </c>
    </row>
    <row r="35" customFormat="false" ht="27.75" hidden="false" customHeight="true" outlineLevel="0" collapsed="false">
      <c r="A35" s="33" t="str">
        <f aca="false">IFERROR(SMALL(IF('Suivi dossiers'!$K$5:$K$103&lt;&gt;"",'Suivi dossiers'!$K$5:$K$103),31),"")</f>
        <v/>
      </c>
      <c r="B35" s="34" t="str">
        <f aca="false">IFERROR(INDEX('Suivi dossiers'!$B$5:$B$103,MATCH(IFERROR(SMALL(IF('Suivi dossiers'!$I$5:$I$103&lt;&gt;"",'Suivi dossiers'!$I$5:$I$103),31),""),'Suivi dossiers'!$I$5:$I$103,0))&amp;" "&amp;INDEX('Suivi dossiers'!$C$5:$C$103,MATCH(IFERROR(SMALL(IF('Suivi dossiers'!$I$5:$I$103&lt;&gt;"",'Suivi dossiers'!$I$5:$I$103),31),""),'Suivi dossiers'!$I$5:$I$103,0)),"")</f>
        <v> </v>
      </c>
      <c r="C35" s="34" t="n">
        <f aca="false">IFERROR(INDEX('Suivi dossiers'!$D$5:$D$103,MATCH(IFERROR(SMALL(IF('Suivi dossiers'!$I$5:$I$103&lt;&gt;"",'Suivi dossiers'!$I$5:$I$103),31),""),'Suivi dossiers'!$I$5:$I$103,0)),"")</f>
        <v>0</v>
      </c>
      <c r="D35" s="34" t="n">
        <f aca="false">IFERROR(INDEX('Suivi dossiers'!$F$5:$F$103,MATCH(IFERROR(SMALL(IF('Suivi dossiers'!$I$5:$I$103&lt;&gt;"",'Suivi dossiers'!$I$5:$I$103),31),""),'Suivi dossiers'!$I$5:$I$103,0)),"")</f>
        <v>0</v>
      </c>
      <c r="E35" s="35" t="n">
        <f aca="false">IFERROR(INDEX('Suivi dossiers'!$H$5:$H$103,MATCH(IFERROR(SMALL(IF('Suivi dossiers'!$I$5:$I$103&lt;&gt;"",'Suivi dossiers'!$I$5:$I$103),31),""),'Suivi dossiers'!$I$5:$I$103,0)),"")</f>
        <v>0</v>
      </c>
      <c r="F35" s="30" t="str">
        <f aca="false">IFERROR(SMALL(IF('Suivi dossiers'!$I$5:$I$103&lt;&gt;"",'Suivi dossiers'!$I$5:$I$103),31),"")</f>
        <v/>
      </c>
      <c r="G35" s="34" t="str">
        <f aca="false">IFERROR(INDEX('Suivi dossiers'!$Q$5:$Q$103,MATCH(IFERROR(SMALL(IF('Suivi dossiers'!$I$5:$I$103&lt;&gt;"",'Suivi dossiers'!$I$5:$I$103),31),""),'Suivi dossiers'!$I$5:$I$103,0)),"")</f>
        <v/>
      </c>
    </row>
    <row r="36" customFormat="false" ht="27.75" hidden="false" customHeight="true" outlineLevel="0" collapsed="false">
      <c r="A36" s="33" t="str">
        <f aca="false">IFERROR(SMALL(IF('Suivi dossiers'!$K$5:$K$103&lt;&gt;"",'Suivi dossiers'!$K$5:$K$103),32),"")</f>
        <v/>
      </c>
      <c r="B36" s="34" t="str">
        <f aca="false">IFERROR(INDEX('Suivi dossiers'!$B$5:$B$103,MATCH(IFERROR(SMALL(IF('Suivi dossiers'!$I$5:$I$103&lt;&gt;"",'Suivi dossiers'!$I$5:$I$103),32),""),'Suivi dossiers'!$I$5:$I$103,0))&amp;" "&amp;INDEX('Suivi dossiers'!$C$5:$C$103,MATCH(IFERROR(SMALL(IF('Suivi dossiers'!$I$5:$I$103&lt;&gt;"",'Suivi dossiers'!$I$5:$I$103),32),""),'Suivi dossiers'!$I$5:$I$103,0)),"")</f>
        <v> </v>
      </c>
      <c r="C36" s="34" t="n">
        <f aca="false">IFERROR(INDEX('Suivi dossiers'!$D$5:$D$103,MATCH(IFERROR(SMALL(IF('Suivi dossiers'!$I$5:$I$103&lt;&gt;"",'Suivi dossiers'!$I$5:$I$103),32),""),'Suivi dossiers'!$I$5:$I$103,0)),"")</f>
        <v>0</v>
      </c>
      <c r="D36" s="34" t="n">
        <f aca="false">IFERROR(INDEX('Suivi dossiers'!$F$5:$F$103,MATCH(IFERROR(SMALL(IF('Suivi dossiers'!$I$5:$I$103&lt;&gt;"",'Suivi dossiers'!$I$5:$I$103),32),""),'Suivi dossiers'!$I$5:$I$103,0)),"")</f>
        <v>0</v>
      </c>
      <c r="E36" s="35" t="n">
        <f aca="false">IFERROR(INDEX('Suivi dossiers'!$H$5:$H$103,MATCH(IFERROR(SMALL(IF('Suivi dossiers'!$I$5:$I$103&lt;&gt;"",'Suivi dossiers'!$I$5:$I$103),32),""),'Suivi dossiers'!$I$5:$I$103,0)),"")</f>
        <v>0</v>
      </c>
      <c r="F36" s="30" t="str">
        <f aca="false">IFERROR(SMALL(IF('Suivi dossiers'!$I$5:$I$103&lt;&gt;"",'Suivi dossiers'!$I$5:$I$103),32),"")</f>
        <v/>
      </c>
      <c r="G36" s="34" t="str">
        <f aca="false">IFERROR(INDEX('Suivi dossiers'!$Q$5:$Q$103,MATCH(IFERROR(SMALL(IF('Suivi dossiers'!$I$5:$I$103&lt;&gt;"",'Suivi dossiers'!$I$5:$I$103),32),""),'Suivi dossiers'!$I$5:$I$103,0)),"")</f>
        <v/>
      </c>
    </row>
    <row r="37" customFormat="false" ht="27.75" hidden="false" customHeight="true" outlineLevel="0" collapsed="false">
      <c r="A37" s="33" t="str">
        <f aca="false">IFERROR(SMALL(IF('Suivi dossiers'!$K$5:$K$103&lt;&gt;"",'Suivi dossiers'!$K$5:$K$103),33),"")</f>
        <v/>
      </c>
      <c r="B37" s="34" t="str">
        <f aca="false">IFERROR(INDEX('Suivi dossiers'!$B$5:$B$103,MATCH(IFERROR(SMALL(IF('Suivi dossiers'!$I$5:$I$103&lt;&gt;"",'Suivi dossiers'!$I$5:$I$103),33),""),'Suivi dossiers'!$I$5:$I$103,0))&amp;" "&amp;INDEX('Suivi dossiers'!$C$5:$C$103,MATCH(IFERROR(SMALL(IF('Suivi dossiers'!$I$5:$I$103&lt;&gt;"",'Suivi dossiers'!$I$5:$I$103),33),""),'Suivi dossiers'!$I$5:$I$103,0)),"")</f>
        <v> </v>
      </c>
      <c r="C37" s="34" t="n">
        <f aca="false">IFERROR(INDEX('Suivi dossiers'!$D$5:$D$103,MATCH(IFERROR(SMALL(IF('Suivi dossiers'!$I$5:$I$103&lt;&gt;"",'Suivi dossiers'!$I$5:$I$103),33),""),'Suivi dossiers'!$I$5:$I$103,0)),"")</f>
        <v>0</v>
      </c>
      <c r="D37" s="34" t="n">
        <f aca="false">IFERROR(INDEX('Suivi dossiers'!$F$5:$F$103,MATCH(IFERROR(SMALL(IF('Suivi dossiers'!$I$5:$I$103&lt;&gt;"",'Suivi dossiers'!$I$5:$I$103),33),""),'Suivi dossiers'!$I$5:$I$103,0)),"")</f>
        <v>0</v>
      </c>
      <c r="E37" s="35" t="n">
        <f aca="false">IFERROR(INDEX('Suivi dossiers'!$H$5:$H$103,MATCH(IFERROR(SMALL(IF('Suivi dossiers'!$I$5:$I$103&lt;&gt;"",'Suivi dossiers'!$I$5:$I$103),33),""),'Suivi dossiers'!$I$5:$I$103,0)),"")</f>
        <v>0</v>
      </c>
      <c r="F37" s="30" t="str">
        <f aca="false">IFERROR(SMALL(IF('Suivi dossiers'!$I$5:$I$103&lt;&gt;"",'Suivi dossiers'!$I$5:$I$103),33),"")</f>
        <v/>
      </c>
      <c r="G37" s="34" t="str">
        <f aca="false">IFERROR(INDEX('Suivi dossiers'!$Q$5:$Q$103,MATCH(IFERROR(SMALL(IF('Suivi dossiers'!$I$5:$I$103&lt;&gt;"",'Suivi dossiers'!$I$5:$I$103),33),""),'Suivi dossiers'!$I$5:$I$103,0)),"")</f>
        <v/>
      </c>
    </row>
    <row r="38" customFormat="false" ht="27.75" hidden="false" customHeight="true" outlineLevel="0" collapsed="false">
      <c r="A38" s="33" t="str">
        <f aca="false">IFERROR(SMALL(IF('Suivi dossiers'!$K$5:$K$103&lt;&gt;"",'Suivi dossiers'!$K$5:$K$103),34),"")</f>
        <v/>
      </c>
      <c r="B38" s="34" t="str">
        <f aca="false">IFERROR(INDEX('Suivi dossiers'!$B$5:$B$103,MATCH(IFERROR(SMALL(IF('Suivi dossiers'!$I$5:$I$103&lt;&gt;"",'Suivi dossiers'!$I$5:$I$103),34),""),'Suivi dossiers'!$I$5:$I$103,0))&amp;" "&amp;INDEX('Suivi dossiers'!$C$5:$C$103,MATCH(IFERROR(SMALL(IF('Suivi dossiers'!$I$5:$I$103&lt;&gt;"",'Suivi dossiers'!$I$5:$I$103),34),""),'Suivi dossiers'!$I$5:$I$103,0)),"")</f>
        <v> </v>
      </c>
      <c r="C38" s="34" t="n">
        <f aca="false">IFERROR(INDEX('Suivi dossiers'!$D$5:$D$103,MATCH(IFERROR(SMALL(IF('Suivi dossiers'!$I$5:$I$103&lt;&gt;"",'Suivi dossiers'!$I$5:$I$103),34),""),'Suivi dossiers'!$I$5:$I$103,0)),"")</f>
        <v>0</v>
      </c>
      <c r="D38" s="34" t="n">
        <f aca="false">IFERROR(INDEX('Suivi dossiers'!$F$5:$F$103,MATCH(IFERROR(SMALL(IF('Suivi dossiers'!$I$5:$I$103&lt;&gt;"",'Suivi dossiers'!$I$5:$I$103),34),""),'Suivi dossiers'!$I$5:$I$103,0)),"")</f>
        <v>0</v>
      </c>
      <c r="E38" s="35" t="n">
        <f aca="false">IFERROR(INDEX('Suivi dossiers'!$H$5:$H$103,MATCH(IFERROR(SMALL(IF('Suivi dossiers'!$I$5:$I$103&lt;&gt;"",'Suivi dossiers'!$I$5:$I$103),34),""),'Suivi dossiers'!$I$5:$I$103,0)),"")</f>
        <v>0</v>
      </c>
      <c r="F38" s="30" t="str">
        <f aca="false">IFERROR(SMALL(IF('Suivi dossiers'!$I$5:$I$103&lt;&gt;"",'Suivi dossiers'!$I$5:$I$103),34),"")</f>
        <v/>
      </c>
      <c r="G38" s="34" t="str">
        <f aca="false">IFERROR(INDEX('Suivi dossiers'!$Q$5:$Q$103,MATCH(IFERROR(SMALL(IF('Suivi dossiers'!$I$5:$I$103&lt;&gt;"",'Suivi dossiers'!$I$5:$I$103),34),""),'Suivi dossiers'!$I$5:$I$103,0)),"")</f>
        <v/>
      </c>
    </row>
    <row r="39" customFormat="false" ht="27.75" hidden="false" customHeight="true" outlineLevel="0" collapsed="false">
      <c r="A39" s="33" t="str">
        <f aca="false">IFERROR(SMALL(IF('Suivi dossiers'!$K$5:$K$103&lt;&gt;"",'Suivi dossiers'!$K$5:$K$103),35),"")</f>
        <v/>
      </c>
      <c r="B39" s="34" t="str">
        <f aca="false">IFERROR(INDEX('Suivi dossiers'!$B$5:$B$103,MATCH(IFERROR(SMALL(IF('Suivi dossiers'!$I$5:$I$103&lt;&gt;"",'Suivi dossiers'!$I$5:$I$103),35),""),'Suivi dossiers'!$I$5:$I$103,0))&amp;" "&amp;INDEX('Suivi dossiers'!$C$5:$C$103,MATCH(IFERROR(SMALL(IF('Suivi dossiers'!$I$5:$I$103&lt;&gt;"",'Suivi dossiers'!$I$5:$I$103),35),""),'Suivi dossiers'!$I$5:$I$103,0)),"")</f>
        <v> </v>
      </c>
      <c r="C39" s="34" t="n">
        <f aca="false">IFERROR(INDEX('Suivi dossiers'!$D$5:$D$103,MATCH(IFERROR(SMALL(IF('Suivi dossiers'!$I$5:$I$103&lt;&gt;"",'Suivi dossiers'!$I$5:$I$103),35),""),'Suivi dossiers'!$I$5:$I$103,0)),"")</f>
        <v>0</v>
      </c>
      <c r="D39" s="34" t="n">
        <f aca="false">IFERROR(INDEX('Suivi dossiers'!$F$5:$F$103,MATCH(IFERROR(SMALL(IF('Suivi dossiers'!$I$5:$I$103&lt;&gt;"",'Suivi dossiers'!$I$5:$I$103),35),""),'Suivi dossiers'!$I$5:$I$103,0)),"")</f>
        <v>0</v>
      </c>
      <c r="E39" s="35" t="n">
        <f aca="false">IFERROR(INDEX('Suivi dossiers'!$H$5:$H$103,MATCH(IFERROR(SMALL(IF('Suivi dossiers'!$I$5:$I$103&lt;&gt;"",'Suivi dossiers'!$I$5:$I$103),35),""),'Suivi dossiers'!$I$5:$I$103,0)),"")</f>
        <v>0</v>
      </c>
      <c r="F39" s="30" t="str">
        <f aca="false">IFERROR(SMALL(IF('Suivi dossiers'!$I$5:$I$103&lt;&gt;"",'Suivi dossiers'!$I$5:$I$103),35),"")</f>
        <v/>
      </c>
      <c r="G39" s="34" t="str">
        <f aca="false">IFERROR(INDEX('Suivi dossiers'!$Q$5:$Q$103,MATCH(IFERROR(SMALL(IF('Suivi dossiers'!$I$5:$I$103&lt;&gt;"",'Suivi dossiers'!$I$5:$I$103),35),""),'Suivi dossiers'!$I$5:$I$103,0)),"")</f>
        <v/>
      </c>
    </row>
    <row r="40" customFormat="false" ht="27.75" hidden="false" customHeight="true" outlineLevel="0" collapsed="false">
      <c r="A40" s="33" t="str">
        <f aca="false">IFERROR(SMALL(IF('Suivi dossiers'!$K$5:$K$103&lt;&gt;"",'Suivi dossiers'!$K$5:$K$103),36),"")</f>
        <v/>
      </c>
      <c r="B40" s="34" t="str">
        <f aca="false">IFERROR(INDEX('Suivi dossiers'!$B$5:$B$103,MATCH(IFERROR(SMALL(IF('Suivi dossiers'!$I$5:$I$103&lt;&gt;"",'Suivi dossiers'!$I$5:$I$103),36),""),'Suivi dossiers'!$I$5:$I$103,0))&amp;" "&amp;INDEX('Suivi dossiers'!$C$5:$C$103,MATCH(IFERROR(SMALL(IF('Suivi dossiers'!$I$5:$I$103&lt;&gt;"",'Suivi dossiers'!$I$5:$I$103),36),""),'Suivi dossiers'!$I$5:$I$103,0)),"")</f>
        <v> </v>
      </c>
      <c r="C40" s="34" t="n">
        <f aca="false">IFERROR(INDEX('Suivi dossiers'!$D$5:$D$103,MATCH(IFERROR(SMALL(IF('Suivi dossiers'!$I$5:$I$103&lt;&gt;"",'Suivi dossiers'!$I$5:$I$103),36),""),'Suivi dossiers'!$I$5:$I$103,0)),"")</f>
        <v>0</v>
      </c>
      <c r="D40" s="34" t="n">
        <f aca="false">IFERROR(INDEX('Suivi dossiers'!$F$5:$F$103,MATCH(IFERROR(SMALL(IF('Suivi dossiers'!$I$5:$I$103&lt;&gt;"",'Suivi dossiers'!$I$5:$I$103),36),""),'Suivi dossiers'!$I$5:$I$103,0)),"")</f>
        <v>0</v>
      </c>
      <c r="E40" s="35" t="n">
        <f aca="false">IFERROR(INDEX('Suivi dossiers'!$H$5:$H$103,MATCH(IFERROR(SMALL(IF('Suivi dossiers'!$I$5:$I$103&lt;&gt;"",'Suivi dossiers'!$I$5:$I$103),36),""),'Suivi dossiers'!$I$5:$I$103,0)),"")</f>
        <v>0</v>
      </c>
      <c r="F40" s="30" t="str">
        <f aca="false">IFERROR(SMALL(IF('Suivi dossiers'!$I$5:$I$103&lt;&gt;"",'Suivi dossiers'!$I$5:$I$103),36),"")</f>
        <v/>
      </c>
      <c r="G40" s="34" t="str">
        <f aca="false">IFERROR(INDEX('Suivi dossiers'!$Q$5:$Q$103,MATCH(IFERROR(SMALL(IF('Suivi dossiers'!$I$5:$I$103&lt;&gt;"",'Suivi dossiers'!$I$5:$I$103),36),""),'Suivi dossiers'!$I$5:$I$103,0)),"")</f>
        <v/>
      </c>
    </row>
    <row r="41" customFormat="false" ht="27.75" hidden="false" customHeight="true" outlineLevel="0" collapsed="false">
      <c r="A41" s="33" t="str">
        <f aca="false">IFERROR(SMALL(IF('Suivi dossiers'!$K$5:$K$103&lt;&gt;"",'Suivi dossiers'!$K$5:$K$103),37),"")</f>
        <v/>
      </c>
      <c r="B41" s="34" t="str">
        <f aca="false">IFERROR(INDEX('Suivi dossiers'!$B$5:$B$103,MATCH(IFERROR(SMALL(IF('Suivi dossiers'!$I$5:$I$103&lt;&gt;"",'Suivi dossiers'!$I$5:$I$103),37),""),'Suivi dossiers'!$I$5:$I$103,0))&amp;" "&amp;INDEX('Suivi dossiers'!$C$5:$C$103,MATCH(IFERROR(SMALL(IF('Suivi dossiers'!$I$5:$I$103&lt;&gt;"",'Suivi dossiers'!$I$5:$I$103),37),""),'Suivi dossiers'!$I$5:$I$103,0)),"")</f>
        <v> </v>
      </c>
      <c r="C41" s="34" t="n">
        <f aca="false">IFERROR(INDEX('Suivi dossiers'!$D$5:$D$103,MATCH(IFERROR(SMALL(IF('Suivi dossiers'!$I$5:$I$103&lt;&gt;"",'Suivi dossiers'!$I$5:$I$103),37),""),'Suivi dossiers'!$I$5:$I$103,0)),"")</f>
        <v>0</v>
      </c>
      <c r="D41" s="34" t="n">
        <f aca="false">IFERROR(INDEX('Suivi dossiers'!$F$5:$F$103,MATCH(IFERROR(SMALL(IF('Suivi dossiers'!$I$5:$I$103&lt;&gt;"",'Suivi dossiers'!$I$5:$I$103),37),""),'Suivi dossiers'!$I$5:$I$103,0)),"")</f>
        <v>0</v>
      </c>
      <c r="E41" s="35" t="n">
        <f aca="false">IFERROR(INDEX('Suivi dossiers'!$H$5:$H$103,MATCH(IFERROR(SMALL(IF('Suivi dossiers'!$I$5:$I$103&lt;&gt;"",'Suivi dossiers'!$I$5:$I$103),37),""),'Suivi dossiers'!$I$5:$I$103,0)),"")</f>
        <v>0</v>
      </c>
      <c r="F41" s="30" t="str">
        <f aca="false">IFERROR(SMALL(IF('Suivi dossiers'!$I$5:$I$103&lt;&gt;"",'Suivi dossiers'!$I$5:$I$103),37),"")</f>
        <v/>
      </c>
      <c r="G41" s="34" t="str">
        <f aca="false">IFERROR(INDEX('Suivi dossiers'!$Q$5:$Q$103,MATCH(IFERROR(SMALL(IF('Suivi dossiers'!$I$5:$I$103&lt;&gt;"",'Suivi dossiers'!$I$5:$I$103),37),""),'Suivi dossiers'!$I$5:$I$103,0)),"")</f>
        <v/>
      </c>
    </row>
    <row r="42" customFormat="false" ht="27.75" hidden="false" customHeight="true" outlineLevel="0" collapsed="false">
      <c r="A42" s="33" t="str">
        <f aca="false">IFERROR(SMALL(IF('Suivi dossiers'!$K$5:$K$103&lt;&gt;"",'Suivi dossiers'!$K$5:$K$103),38),"")</f>
        <v/>
      </c>
      <c r="B42" s="34" t="str">
        <f aca="false">IFERROR(INDEX('Suivi dossiers'!$B$5:$B$103,MATCH(IFERROR(SMALL(IF('Suivi dossiers'!$I$5:$I$103&lt;&gt;"",'Suivi dossiers'!$I$5:$I$103),38),""),'Suivi dossiers'!$I$5:$I$103,0))&amp;" "&amp;INDEX('Suivi dossiers'!$C$5:$C$103,MATCH(IFERROR(SMALL(IF('Suivi dossiers'!$I$5:$I$103&lt;&gt;"",'Suivi dossiers'!$I$5:$I$103),38),""),'Suivi dossiers'!$I$5:$I$103,0)),"")</f>
        <v> </v>
      </c>
      <c r="C42" s="34" t="n">
        <f aca="false">IFERROR(INDEX('Suivi dossiers'!$D$5:$D$103,MATCH(IFERROR(SMALL(IF('Suivi dossiers'!$I$5:$I$103&lt;&gt;"",'Suivi dossiers'!$I$5:$I$103),38),""),'Suivi dossiers'!$I$5:$I$103,0)),"")</f>
        <v>0</v>
      </c>
      <c r="D42" s="34" t="n">
        <f aca="false">IFERROR(INDEX('Suivi dossiers'!$F$5:$F$103,MATCH(IFERROR(SMALL(IF('Suivi dossiers'!$I$5:$I$103&lt;&gt;"",'Suivi dossiers'!$I$5:$I$103),38),""),'Suivi dossiers'!$I$5:$I$103,0)),"")</f>
        <v>0</v>
      </c>
      <c r="E42" s="35" t="n">
        <f aca="false">IFERROR(INDEX('Suivi dossiers'!$H$5:$H$103,MATCH(IFERROR(SMALL(IF('Suivi dossiers'!$I$5:$I$103&lt;&gt;"",'Suivi dossiers'!$I$5:$I$103),38),""),'Suivi dossiers'!$I$5:$I$103,0)),"")</f>
        <v>0</v>
      </c>
      <c r="F42" s="30" t="str">
        <f aca="false">IFERROR(SMALL(IF('Suivi dossiers'!$I$5:$I$103&lt;&gt;"",'Suivi dossiers'!$I$5:$I$103),38),"")</f>
        <v/>
      </c>
      <c r="G42" s="34" t="str">
        <f aca="false">IFERROR(INDEX('Suivi dossiers'!$Q$5:$Q$103,MATCH(IFERROR(SMALL(IF('Suivi dossiers'!$I$5:$I$103&lt;&gt;"",'Suivi dossiers'!$I$5:$I$103),38),""),'Suivi dossiers'!$I$5:$I$103,0)),"")</f>
        <v/>
      </c>
    </row>
    <row r="43" customFormat="false" ht="27.75" hidden="false" customHeight="true" outlineLevel="0" collapsed="false">
      <c r="A43" s="33" t="str">
        <f aca="false">IFERROR(SMALL(IF('Suivi dossiers'!$K$5:$K$103&lt;&gt;"",'Suivi dossiers'!$K$5:$K$103),39),"")</f>
        <v/>
      </c>
      <c r="B43" s="34" t="str">
        <f aca="false">IFERROR(INDEX('Suivi dossiers'!$B$5:$B$103,MATCH(IFERROR(SMALL(IF('Suivi dossiers'!$I$5:$I$103&lt;&gt;"",'Suivi dossiers'!$I$5:$I$103),39),""),'Suivi dossiers'!$I$5:$I$103,0))&amp;" "&amp;INDEX('Suivi dossiers'!$C$5:$C$103,MATCH(IFERROR(SMALL(IF('Suivi dossiers'!$I$5:$I$103&lt;&gt;"",'Suivi dossiers'!$I$5:$I$103),39),""),'Suivi dossiers'!$I$5:$I$103,0)),"")</f>
        <v> </v>
      </c>
      <c r="C43" s="34" t="n">
        <f aca="false">IFERROR(INDEX('Suivi dossiers'!$D$5:$D$103,MATCH(IFERROR(SMALL(IF('Suivi dossiers'!$I$5:$I$103&lt;&gt;"",'Suivi dossiers'!$I$5:$I$103),39),""),'Suivi dossiers'!$I$5:$I$103,0)),"")</f>
        <v>0</v>
      </c>
      <c r="D43" s="34" t="n">
        <f aca="false">IFERROR(INDEX('Suivi dossiers'!$F$5:$F$103,MATCH(IFERROR(SMALL(IF('Suivi dossiers'!$I$5:$I$103&lt;&gt;"",'Suivi dossiers'!$I$5:$I$103),39),""),'Suivi dossiers'!$I$5:$I$103,0)),"")</f>
        <v>0</v>
      </c>
      <c r="E43" s="35" t="n">
        <f aca="false">IFERROR(INDEX('Suivi dossiers'!$H$5:$H$103,MATCH(IFERROR(SMALL(IF('Suivi dossiers'!$I$5:$I$103&lt;&gt;"",'Suivi dossiers'!$I$5:$I$103),39),""),'Suivi dossiers'!$I$5:$I$103,0)),"")</f>
        <v>0</v>
      </c>
      <c r="F43" s="30" t="str">
        <f aca="false">IFERROR(SMALL(IF('Suivi dossiers'!$I$5:$I$103&lt;&gt;"",'Suivi dossiers'!$I$5:$I$103),39),"")</f>
        <v/>
      </c>
      <c r="G43" s="34" t="str">
        <f aca="false">IFERROR(INDEX('Suivi dossiers'!$Q$5:$Q$103,MATCH(IFERROR(SMALL(IF('Suivi dossiers'!$I$5:$I$103&lt;&gt;"",'Suivi dossiers'!$I$5:$I$103),39),""),'Suivi dossiers'!$I$5:$I$103,0)),"")</f>
        <v/>
      </c>
    </row>
    <row r="44" customFormat="false" ht="27.75" hidden="false" customHeight="true" outlineLevel="0" collapsed="false">
      <c r="A44" s="33" t="str">
        <f aca="false">IFERROR(SMALL(IF('Suivi dossiers'!$K$5:$K$103&lt;&gt;"",'Suivi dossiers'!$K$5:$K$103),40),"")</f>
        <v/>
      </c>
      <c r="B44" s="34" t="str">
        <f aca="false">IFERROR(INDEX('Suivi dossiers'!$B$5:$B$103,MATCH(IFERROR(SMALL(IF('Suivi dossiers'!$I$5:$I$103&lt;&gt;"",'Suivi dossiers'!$I$5:$I$103),40),""),'Suivi dossiers'!$I$5:$I$103,0))&amp;" "&amp;INDEX('Suivi dossiers'!$C$5:$C$103,MATCH(IFERROR(SMALL(IF('Suivi dossiers'!$I$5:$I$103&lt;&gt;"",'Suivi dossiers'!$I$5:$I$103),40),""),'Suivi dossiers'!$I$5:$I$103,0)),"")</f>
        <v> </v>
      </c>
      <c r="C44" s="34" t="n">
        <f aca="false">IFERROR(INDEX('Suivi dossiers'!$D$5:$D$103,MATCH(IFERROR(SMALL(IF('Suivi dossiers'!$I$5:$I$103&lt;&gt;"",'Suivi dossiers'!$I$5:$I$103),40),""),'Suivi dossiers'!$I$5:$I$103,0)),"")</f>
        <v>0</v>
      </c>
      <c r="D44" s="34" t="n">
        <f aca="false">IFERROR(INDEX('Suivi dossiers'!$F$5:$F$103,MATCH(IFERROR(SMALL(IF('Suivi dossiers'!$I$5:$I$103&lt;&gt;"",'Suivi dossiers'!$I$5:$I$103),40),""),'Suivi dossiers'!$I$5:$I$103,0)),"")</f>
        <v>0</v>
      </c>
      <c r="E44" s="35" t="n">
        <f aca="false">IFERROR(INDEX('Suivi dossiers'!$H$5:$H$103,MATCH(IFERROR(SMALL(IF('Suivi dossiers'!$I$5:$I$103&lt;&gt;"",'Suivi dossiers'!$I$5:$I$103),40),""),'Suivi dossiers'!$I$5:$I$103,0)),"")</f>
        <v>0</v>
      </c>
      <c r="F44" s="30" t="str">
        <f aca="false">IFERROR(SMALL(IF('Suivi dossiers'!$I$5:$I$103&lt;&gt;"",'Suivi dossiers'!$I$5:$I$103),40),"")</f>
        <v/>
      </c>
      <c r="G44" s="34" t="str">
        <f aca="false">IFERROR(INDEX('Suivi dossiers'!$Q$5:$Q$103,MATCH(IFERROR(SMALL(IF('Suivi dossiers'!$I$5:$I$103&lt;&gt;"",'Suivi dossiers'!$I$5:$I$103),40),""),'Suivi dossiers'!$I$5:$I$103,0)),"")</f>
        <v/>
      </c>
    </row>
    <row r="45" customFormat="false" ht="27.75" hidden="false" customHeight="true" outlineLevel="0" collapsed="false">
      <c r="A45" s="33" t="str">
        <f aca="false">IFERROR(SMALL(IF('Suivi dossiers'!$K$5:$K$103&lt;&gt;"",'Suivi dossiers'!$K$5:$K$103),41),"")</f>
        <v/>
      </c>
      <c r="B45" s="34" t="str">
        <f aca="false">IFERROR(INDEX('Suivi dossiers'!$B$5:$B$103,MATCH(IFERROR(SMALL(IF('Suivi dossiers'!$I$5:$I$103&lt;&gt;"",'Suivi dossiers'!$I$5:$I$103),41),""),'Suivi dossiers'!$I$5:$I$103,0))&amp;" "&amp;INDEX('Suivi dossiers'!$C$5:$C$103,MATCH(IFERROR(SMALL(IF('Suivi dossiers'!$I$5:$I$103&lt;&gt;"",'Suivi dossiers'!$I$5:$I$103),41),""),'Suivi dossiers'!$I$5:$I$103,0)),"")</f>
        <v> </v>
      </c>
      <c r="C45" s="34" t="n">
        <f aca="false">IFERROR(INDEX('Suivi dossiers'!$D$5:$D$103,MATCH(IFERROR(SMALL(IF('Suivi dossiers'!$I$5:$I$103&lt;&gt;"",'Suivi dossiers'!$I$5:$I$103),41),""),'Suivi dossiers'!$I$5:$I$103,0)),"")</f>
        <v>0</v>
      </c>
      <c r="D45" s="34" t="n">
        <f aca="false">IFERROR(INDEX('Suivi dossiers'!$F$5:$F$103,MATCH(IFERROR(SMALL(IF('Suivi dossiers'!$I$5:$I$103&lt;&gt;"",'Suivi dossiers'!$I$5:$I$103),41),""),'Suivi dossiers'!$I$5:$I$103,0)),"")</f>
        <v>0</v>
      </c>
      <c r="E45" s="35" t="n">
        <f aca="false">IFERROR(INDEX('Suivi dossiers'!$H$5:$H$103,MATCH(IFERROR(SMALL(IF('Suivi dossiers'!$I$5:$I$103&lt;&gt;"",'Suivi dossiers'!$I$5:$I$103),41),""),'Suivi dossiers'!$I$5:$I$103,0)),"")</f>
        <v>0</v>
      </c>
      <c r="F45" s="30" t="str">
        <f aca="false">IFERROR(SMALL(IF('Suivi dossiers'!$I$5:$I$103&lt;&gt;"",'Suivi dossiers'!$I$5:$I$103),41),"")</f>
        <v/>
      </c>
      <c r="G45" s="34" t="str">
        <f aca="false">IFERROR(INDEX('Suivi dossiers'!$Q$5:$Q$103,MATCH(IFERROR(SMALL(IF('Suivi dossiers'!$I$5:$I$103&lt;&gt;"",'Suivi dossiers'!$I$5:$I$103),41),""),'Suivi dossiers'!$I$5:$I$103,0)),"")</f>
        <v/>
      </c>
    </row>
    <row r="46" customFormat="false" ht="27.75" hidden="false" customHeight="true" outlineLevel="0" collapsed="false">
      <c r="A46" s="33" t="str">
        <f aca="false">IFERROR(SMALL(IF('Suivi dossiers'!$K$5:$K$103&lt;&gt;"",'Suivi dossiers'!$K$5:$K$103),42),"")</f>
        <v/>
      </c>
      <c r="B46" s="34" t="str">
        <f aca="false">IFERROR(INDEX('Suivi dossiers'!$B$5:$B$103,MATCH(IFERROR(SMALL(IF('Suivi dossiers'!$I$5:$I$103&lt;&gt;"",'Suivi dossiers'!$I$5:$I$103),42),""),'Suivi dossiers'!$I$5:$I$103,0))&amp;" "&amp;INDEX('Suivi dossiers'!$C$5:$C$103,MATCH(IFERROR(SMALL(IF('Suivi dossiers'!$I$5:$I$103&lt;&gt;"",'Suivi dossiers'!$I$5:$I$103),42),""),'Suivi dossiers'!$I$5:$I$103,0)),"")</f>
        <v> </v>
      </c>
      <c r="C46" s="34" t="n">
        <f aca="false">IFERROR(INDEX('Suivi dossiers'!$D$5:$D$103,MATCH(IFERROR(SMALL(IF('Suivi dossiers'!$I$5:$I$103&lt;&gt;"",'Suivi dossiers'!$I$5:$I$103),42),""),'Suivi dossiers'!$I$5:$I$103,0)),"")</f>
        <v>0</v>
      </c>
      <c r="D46" s="34" t="n">
        <f aca="false">IFERROR(INDEX('Suivi dossiers'!$F$5:$F$103,MATCH(IFERROR(SMALL(IF('Suivi dossiers'!$I$5:$I$103&lt;&gt;"",'Suivi dossiers'!$I$5:$I$103),42),""),'Suivi dossiers'!$I$5:$I$103,0)),"")</f>
        <v>0</v>
      </c>
      <c r="E46" s="35" t="n">
        <f aca="false">IFERROR(INDEX('Suivi dossiers'!$H$5:$H$103,MATCH(IFERROR(SMALL(IF('Suivi dossiers'!$I$5:$I$103&lt;&gt;"",'Suivi dossiers'!$I$5:$I$103),42),""),'Suivi dossiers'!$I$5:$I$103,0)),"")</f>
        <v>0</v>
      </c>
      <c r="F46" s="30" t="str">
        <f aca="false">IFERROR(SMALL(IF('Suivi dossiers'!$I$5:$I$103&lt;&gt;"",'Suivi dossiers'!$I$5:$I$103),42),"")</f>
        <v/>
      </c>
      <c r="G46" s="34" t="str">
        <f aca="false">IFERROR(INDEX('Suivi dossiers'!$Q$5:$Q$103,MATCH(IFERROR(SMALL(IF('Suivi dossiers'!$I$5:$I$103&lt;&gt;"",'Suivi dossiers'!$I$5:$I$103),42),""),'Suivi dossiers'!$I$5:$I$103,0)),"")</f>
        <v/>
      </c>
    </row>
    <row r="47" customFormat="false" ht="27.75" hidden="false" customHeight="true" outlineLevel="0" collapsed="false">
      <c r="A47" s="33" t="str">
        <f aca="false">IFERROR(SMALL(IF('Suivi dossiers'!$K$5:$K$103&lt;&gt;"",'Suivi dossiers'!$K$5:$K$103),43),"")</f>
        <v/>
      </c>
      <c r="B47" s="34" t="str">
        <f aca="false">IFERROR(INDEX('Suivi dossiers'!$B$5:$B$103,MATCH(IFERROR(SMALL(IF('Suivi dossiers'!$I$5:$I$103&lt;&gt;"",'Suivi dossiers'!$I$5:$I$103),43),""),'Suivi dossiers'!$I$5:$I$103,0))&amp;" "&amp;INDEX('Suivi dossiers'!$C$5:$C$103,MATCH(IFERROR(SMALL(IF('Suivi dossiers'!$I$5:$I$103&lt;&gt;"",'Suivi dossiers'!$I$5:$I$103),43),""),'Suivi dossiers'!$I$5:$I$103,0)),"")</f>
        <v> </v>
      </c>
      <c r="C47" s="34" t="n">
        <f aca="false">IFERROR(INDEX('Suivi dossiers'!$D$5:$D$103,MATCH(IFERROR(SMALL(IF('Suivi dossiers'!$I$5:$I$103&lt;&gt;"",'Suivi dossiers'!$I$5:$I$103),43),""),'Suivi dossiers'!$I$5:$I$103,0)),"")</f>
        <v>0</v>
      </c>
      <c r="D47" s="34" t="n">
        <f aca="false">IFERROR(INDEX('Suivi dossiers'!$F$5:$F$103,MATCH(IFERROR(SMALL(IF('Suivi dossiers'!$I$5:$I$103&lt;&gt;"",'Suivi dossiers'!$I$5:$I$103),43),""),'Suivi dossiers'!$I$5:$I$103,0)),"")</f>
        <v>0</v>
      </c>
      <c r="E47" s="35" t="n">
        <f aca="false">IFERROR(INDEX('Suivi dossiers'!$H$5:$H$103,MATCH(IFERROR(SMALL(IF('Suivi dossiers'!$I$5:$I$103&lt;&gt;"",'Suivi dossiers'!$I$5:$I$103),43),""),'Suivi dossiers'!$I$5:$I$103,0)),"")</f>
        <v>0</v>
      </c>
      <c r="F47" s="30" t="str">
        <f aca="false">IFERROR(SMALL(IF('Suivi dossiers'!$I$5:$I$103&lt;&gt;"",'Suivi dossiers'!$I$5:$I$103),43),"")</f>
        <v/>
      </c>
      <c r="G47" s="34" t="str">
        <f aca="false">IFERROR(INDEX('Suivi dossiers'!$Q$5:$Q$103,MATCH(IFERROR(SMALL(IF('Suivi dossiers'!$I$5:$I$103&lt;&gt;"",'Suivi dossiers'!$I$5:$I$103),43),""),'Suivi dossiers'!$I$5:$I$103,0)),"")</f>
        <v/>
      </c>
    </row>
    <row r="48" customFormat="false" ht="27.75" hidden="false" customHeight="true" outlineLevel="0" collapsed="false">
      <c r="A48" s="33" t="str">
        <f aca="false">IFERROR(SMALL(IF('Suivi dossiers'!$K$5:$K$103&lt;&gt;"",'Suivi dossiers'!$K$5:$K$103),44),"")</f>
        <v/>
      </c>
      <c r="B48" s="34" t="str">
        <f aca="false">IFERROR(INDEX('Suivi dossiers'!$B$5:$B$103,MATCH(IFERROR(SMALL(IF('Suivi dossiers'!$I$5:$I$103&lt;&gt;"",'Suivi dossiers'!$I$5:$I$103),44),""),'Suivi dossiers'!$I$5:$I$103,0))&amp;" "&amp;INDEX('Suivi dossiers'!$C$5:$C$103,MATCH(IFERROR(SMALL(IF('Suivi dossiers'!$I$5:$I$103&lt;&gt;"",'Suivi dossiers'!$I$5:$I$103),44),""),'Suivi dossiers'!$I$5:$I$103,0)),"")</f>
        <v> </v>
      </c>
      <c r="C48" s="34" t="n">
        <f aca="false">IFERROR(INDEX('Suivi dossiers'!$D$5:$D$103,MATCH(IFERROR(SMALL(IF('Suivi dossiers'!$I$5:$I$103&lt;&gt;"",'Suivi dossiers'!$I$5:$I$103),44),""),'Suivi dossiers'!$I$5:$I$103,0)),"")</f>
        <v>0</v>
      </c>
      <c r="D48" s="34" t="n">
        <f aca="false">IFERROR(INDEX('Suivi dossiers'!$F$5:$F$103,MATCH(IFERROR(SMALL(IF('Suivi dossiers'!$I$5:$I$103&lt;&gt;"",'Suivi dossiers'!$I$5:$I$103),44),""),'Suivi dossiers'!$I$5:$I$103,0)),"")</f>
        <v>0</v>
      </c>
      <c r="E48" s="35" t="n">
        <f aca="false">IFERROR(INDEX('Suivi dossiers'!$H$5:$H$103,MATCH(IFERROR(SMALL(IF('Suivi dossiers'!$I$5:$I$103&lt;&gt;"",'Suivi dossiers'!$I$5:$I$103),44),""),'Suivi dossiers'!$I$5:$I$103,0)),"")</f>
        <v>0</v>
      </c>
      <c r="F48" s="30" t="str">
        <f aca="false">IFERROR(SMALL(IF('Suivi dossiers'!$I$5:$I$103&lt;&gt;"",'Suivi dossiers'!$I$5:$I$103),44),"")</f>
        <v/>
      </c>
      <c r="G48" s="34" t="str">
        <f aca="false">IFERROR(INDEX('Suivi dossiers'!$Q$5:$Q$103,MATCH(IFERROR(SMALL(IF('Suivi dossiers'!$I$5:$I$103&lt;&gt;"",'Suivi dossiers'!$I$5:$I$103),44),""),'Suivi dossiers'!$I$5:$I$103,0)),"")</f>
        <v/>
      </c>
    </row>
    <row r="49" customFormat="false" ht="27.75" hidden="false" customHeight="true" outlineLevel="0" collapsed="false">
      <c r="A49" s="33" t="str">
        <f aca="false">IFERROR(SMALL(IF('Suivi dossiers'!$K$5:$K$103&lt;&gt;"",'Suivi dossiers'!$K$5:$K$103),45),"")</f>
        <v/>
      </c>
      <c r="B49" s="34" t="str">
        <f aca="false">IFERROR(INDEX('Suivi dossiers'!$B$5:$B$103,MATCH(IFERROR(SMALL(IF('Suivi dossiers'!$I$5:$I$103&lt;&gt;"",'Suivi dossiers'!$I$5:$I$103),45),""),'Suivi dossiers'!$I$5:$I$103,0))&amp;" "&amp;INDEX('Suivi dossiers'!$C$5:$C$103,MATCH(IFERROR(SMALL(IF('Suivi dossiers'!$I$5:$I$103&lt;&gt;"",'Suivi dossiers'!$I$5:$I$103),45),""),'Suivi dossiers'!$I$5:$I$103,0)),"")</f>
        <v> </v>
      </c>
      <c r="C49" s="34" t="n">
        <f aca="false">IFERROR(INDEX('Suivi dossiers'!$D$5:$D$103,MATCH(IFERROR(SMALL(IF('Suivi dossiers'!$I$5:$I$103&lt;&gt;"",'Suivi dossiers'!$I$5:$I$103),45),""),'Suivi dossiers'!$I$5:$I$103,0)),"")</f>
        <v>0</v>
      </c>
      <c r="D49" s="34" t="n">
        <f aca="false">IFERROR(INDEX('Suivi dossiers'!$F$5:$F$103,MATCH(IFERROR(SMALL(IF('Suivi dossiers'!$I$5:$I$103&lt;&gt;"",'Suivi dossiers'!$I$5:$I$103),45),""),'Suivi dossiers'!$I$5:$I$103,0)),"")</f>
        <v>0</v>
      </c>
      <c r="E49" s="35" t="n">
        <f aca="false">IFERROR(INDEX('Suivi dossiers'!$H$5:$H$103,MATCH(IFERROR(SMALL(IF('Suivi dossiers'!$I$5:$I$103&lt;&gt;"",'Suivi dossiers'!$I$5:$I$103),45),""),'Suivi dossiers'!$I$5:$I$103,0)),"")</f>
        <v>0</v>
      </c>
      <c r="F49" s="30" t="str">
        <f aca="false">IFERROR(SMALL(IF('Suivi dossiers'!$I$5:$I$103&lt;&gt;"",'Suivi dossiers'!$I$5:$I$103),45),"")</f>
        <v/>
      </c>
      <c r="G49" s="34" t="str">
        <f aca="false">IFERROR(INDEX('Suivi dossiers'!$Q$5:$Q$103,MATCH(IFERROR(SMALL(IF('Suivi dossiers'!$I$5:$I$103&lt;&gt;"",'Suivi dossiers'!$I$5:$I$103),45),""),'Suivi dossiers'!$I$5:$I$103,0)),"")</f>
        <v/>
      </c>
    </row>
    <row r="50" customFormat="false" ht="27.75" hidden="false" customHeight="true" outlineLevel="0" collapsed="false">
      <c r="A50" s="33" t="str">
        <f aca="false">IFERROR(SMALL(IF('Suivi dossiers'!$K$5:$K$103&lt;&gt;"",'Suivi dossiers'!$K$5:$K$103),46),"")</f>
        <v/>
      </c>
      <c r="B50" s="34" t="str">
        <f aca="false">IFERROR(INDEX('Suivi dossiers'!$B$5:$B$103,MATCH(IFERROR(SMALL(IF('Suivi dossiers'!$I$5:$I$103&lt;&gt;"",'Suivi dossiers'!$I$5:$I$103),46),""),'Suivi dossiers'!$I$5:$I$103,0))&amp;" "&amp;INDEX('Suivi dossiers'!$C$5:$C$103,MATCH(IFERROR(SMALL(IF('Suivi dossiers'!$I$5:$I$103&lt;&gt;"",'Suivi dossiers'!$I$5:$I$103),46),""),'Suivi dossiers'!$I$5:$I$103,0)),"")</f>
        <v> </v>
      </c>
      <c r="C50" s="34" t="n">
        <f aca="false">IFERROR(INDEX('Suivi dossiers'!$D$5:$D$103,MATCH(IFERROR(SMALL(IF('Suivi dossiers'!$I$5:$I$103&lt;&gt;"",'Suivi dossiers'!$I$5:$I$103),46),""),'Suivi dossiers'!$I$5:$I$103,0)),"")</f>
        <v>0</v>
      </c>
      <c r="D50" s="34" t="n">
        <f aca="false">IFERROR(INDEX('Suivi dossiers'!$F$5:$F$103,MATCH(IFERROR(SMALL(IF('Suivi dossiers'!$I$5:$I$103&lt;&gt;"",'Suivi dossiers'!$I$5:$I$103),46),""),'Suivi dossiers'!$I$5:$I$103,0)),"")</f>
        <v>0</v>
      </c>
      <c r="E50" s="35" t="n">
        <f aca="false">IFERROR(INDEX('Suivi dossiers'!$H$5:$H$103,MATCH(IFERROR(SMALL(IF('Suivi dossiers'!$I$5:$I$103&lt;&gt;"",'Suivi dossiers'!$I$5:$I$103),46),""),'Suivi dossiers'!$I$5:$I$103,0)),"")</f>
        <v>0</v>
      </c>
      <c r="F50" s="30" t="str">
        <f aca="false">IFERROR(SMALL(IF('Suivi dossiers'!$I$5:$I$103&lt;&gt;"",'Suivi dossiers'!$I$5:$I$103),46),"")</f>
        <v/>
      </c>
      <c r="G50" s="34" t="str">
        <f aca="false">IFERROR(INDEX('Suivi dossiers'!$Q$5:$Q$103,MATCH(IFERROR(SMALL(IF('Suivi dossiers'!$I$5:$I$103&lt;&gt;"",'Suivi dossiers'!$I$5:$I$103),46),""),'Suivi dossiers'!$I$5:$I$103,0)),"")</f>
        <v/>
      </c>
    </row>
    <row r="51" customFormat="false" ht="27.75" hidden="false" customHeight="true" outlineLevel="0" collapsed="false">
      <c r="A51" s="33" t="str">
        <f aca="false">IFERROR(SMALL(IF('Suivi dossiers'!$K$5:$K$103&lt;&gt;"",'Suivi dossiers'!$K$5:$K$103),47),"")</f>
        <v/>
      </c>
      <c r="B51" s="34" t="str">
        <f aca="false">IFERROR(INDEX('Suivi dossiers'!$B$5:$B$103,MATCH(IFERROR(SMALL(IF('Suivi dossiers'!$I$5:$I$103&lt;&gt;"",'Suivi dossiers'!$I$5:$I$103),47),""),'Suivi dossiers'!$I$5:$I$103,0))&amp;" "&amp;INDEX('Suivi dossiers'!$C$5:$C$103,MATCH(IFERROR(SMALL(IF('Suivi dossiers'!$I$5:$I$103&lt;&gt;"",'Suivi dossiers'!$I$5:$I$103),47),""),'Suivi dossiers'!$I$5:$I$103,0)),"")</f>
        <v> </v>
      </c>
      <c r="C51" s="34" t="n">
        <f aca="false">IFERROR(INDEX('Suivi dossiers'!$D$5:$D$103,MATCH(IFERROR(SMALL(IF('Suivi dossiers'!$I$5:$I$103&lt;&gt;"",'Suivi dossiers'!$I$5:$I$103),47),""),'Suivi dossiers'!$I$5:$I$103,0)),"")</f>
        <v>0</v>
      </c>
      <c r="D51" s="34" t="n">
        <f aca="false">IFERROR(INDEX('Suivi dossiers'!$F$5:$F$103,MATCH(IFERROR(SMALL(IF('Suivi dossiers'!$I$5:$I$103&lt;&gt;"",'Suivi dossiers'!$I$5:$I$103),47),""),'Suivi dossiers'!$I$5:$I$103,0)),"")</f>
        <v>0</v>
      </c>
      <c r="E51" s="35" t="n">
        <f aca="false">IFERROR(INDEX('Suivi dossiers'!$H$5:$H$103,MATCH(IFERROR(SMALL(IF('Suivi dossiers'!$I$5:$I$103&lt;&gt;"",'Suivi dossiers'!$I$5:$I$103),47),""),'Suivi dossiers'!$I$5:$I$103,0)),"")</f>
        <v>0</v>
      </c>
      <c r="F51" s="30" t="str">
        <f aca="false">IFERROR(SMALL(IF('Suivi dossiers'!$I$5:$I$103&lt;&gt;"",'Suivi dossiers'!$I$5:$I$103),47),"")</f>
        <v/>
      </c>
      <c r="G51" s="34" t="str">
        <f aca="false">IFERROR(INDEX('Suivi dossiers'!$Q$5:$Q$103,MATCH(IFERROR(SMALL(IF('Suivi dossiers'!$I$5:$I$103&lt;&gt;"",'Suivi dossiers'!$I$5:$I$103),47),""),'Suivi dossiers'!$I$5:$I$103,0)),"")</f>
        <v/>
      </c>
    </row>
    <row r="52" customFormat="false" ht="27.75" hidden="false" customHeight="true" outlineLevel="0" collapsed="false">
      <c r="A52" s="33" t="str">
        <f aca="false">IFERROR(SMALL(IF('Suivi dossiers'!$K$5:$K$103&lt;&gt;"",'Suivi dossiers'!$K$5:$K$103),48),"")</f>
        <v/>
      </c>
      <c r="B52" s="34" t="str">
        <f aca="false">IFERROR(INDEX('Suivi dossiers'!$B$5:$B$103,MATCH(IFERROR(SMALL(IF('Suivi dossiers'!$I$5:$I$103&lt;&gt;"",'Suivi dossiers'!$I$5:$I$103),48),""),'Suivi dossiers'!$I$5:$I$103,0))&amp;" "&amp;INDEX('Suivi dossiers'!$C$5:$C$103,MATCH(IFERROR(SMALL(IF('Suivi dossiers'!$I$5:$I$103&lt;&gt;"",'Suivi dossiers'!$I$5:$I$103),48),""),'Suivi dossiers'!$I$5:$I$103,0)),"")</f>
        <v> </v>
      </c>
      <c r="C52" s="34" t="n">
        <f aca="false">IFERROR(INDEX('Suivi dossiers'!$D$5:$D$103,MATCH(IFERROR(SMALL(IF('Suivi dossiers'!$I$5:$I$103&lt;&gt;"",'Suivi dossiers'!$I$5:$I$103),48),""),'Suivi dossiers'!$I$5:$I$103,0)),"")</f>
        <v>0</v>
      </c>
      <c r="D52" s="34" t="n">
        <f aca="false">IFERROR(INDEX('Suivi dossiers'!$F$5:$F$103,MATCH(IFERROR(SMALL(IF('Suivi dossiers'!$I$5:$I$103&lt;&gt;"",'Suivi dossiers'!$I$5:$I$103),48),""),'Suivi dossiers'!$I$5:$I$103,0)),"")</f>
        <v>0</v>
      </c>
      <c r="E52" s="35" t="n">
        <f aca="false">IFERROR(INDEX('Suivi dossiers'!$H$5:$H$103,MATCH(IFERROR(SMALL(IF('Suivi dossiers'!$I$5:$I$103&lt;&gt;"",'Suivi dossiers'!$I$5:$I$103),48),""),'Suivi dossiers'!$I$5:$I$103,0)),"")</f>
        <v>0</v>
      </c>
      <c r="F52" s="30" t="str">
        <f aca="false">IFERROR(SMALL(IF('Suivi dossiers'!$I$5:$I$103&lt;&gt;"",'Suivi dossiers'!$I$5:$I$103),48),"")</f>
        <v/>
      </c>
      <c r="G52" s="34" t="str">
        <f aca="false">IFERROR(INDEX('Suivi dossiers'!$Q$5:$Q$103,MATCH(IFERROR(SMALL(IF('Suivi dossiers'!$I$5:$I$103&lt;&gt;"",'Suivi dossiers'!$I$5:$I$103),48),""),'Suivi dossiers'!$I$5:$I$103,0)),"")</f>
        <v/>
      </c>
    </row>
    <row r="53" customFormat="false" ht="27.75" hidden="false" customHeight="true" outlineLevel="0" collapsed="false">
      <c r="A53" s="33" t="str">
        <f aca="false">IFERROR(SMALL(IF('Suivi dossiers'!$K$5:$K$103&lt;&gt;"",'Suivi dossiers'!$K$5:$K$103),49),"")</f>
        <v/>
      </c>
      <c r="B53" s="34" t="str">
        <f aca="false">IFERROR(INDEX('Suivi dossiers'!$B$5:$B$103,MATCH(IFERROR(SMALL(IF('Suivi dossiers'!$I$5:$I$103&lt;&gt;"",'Suivi dossiers'!$I$5:$I$103),49),""),'Suivi dossiers'!$I$5:$I$103,0))&amp;" "&amp;INDEX('Suivi dossiers'!$C$5:$C$103,MATCH(IFERROR(SMALL(IF('Suivi dossiers'!$I$5:$I$103&lt;&gt;"",'Suivi dossiers'!$I$5:$I$103),49),""),'Suivi dossiers'!$I$5:$I$103,0)),"")</f>
        <v> </v>
      </c>
      <c r="C53" s="34" t="n">
        <f aca="false">IFERROR(INDEX('Suivi dossiers'!$D$5:$D$103,MATCH(IFERROR(SMALL(IF('Suivi dossiers'!$I$5:$I$103&lt;&gt;"",'Suivi dossiers'!$I$5:$I$103),49),""),'Suivi dossiers'!$I$5:$I$103,0)),"")</f>
        <v>0</v>
      </c>
      <c r="D53" s="34" t="n">
        <f aca="false">IFERROR(INDEX('Suivi dossiers'!$F$5:$F$103,MATCH(IFERROR(SMALL(IF('Suivi dossiers'!$I$5:$I$103&lt;&gt;"",'Suivi dossiers'!$I$5:$I$103),49),""),'Suivi dossiers'!$I$5:$I$103,0)),"")</f>
        <v>0</v>
      </c>
      <c r="E53" s="35" t="n">
        <f aca="false">IFERROR(INDEX('Suivi dossiers'!$H$5:$H$103,MATCH(IFERROR(SMALL(IF('Suivi dossiers'!$I$5:$I$103&lt;&gt;"",'Suivi dossiers'!$I$5:$I$103),49),""),'Suivi dossiers'!$I$5:$I$103,0)),"")</f>
        <v>0</v>
      </c>
      <c r="F53" s="30" t="str">
        <f aca="false">IFERROR(SMALL(IF('Suivi dossiers'!$I$5:$I$103&lt;&gt;"",'Suivi dossiers'!$I$5:$I$103),49),"")</f>
        <v/>
      </c>
      <c r="G53" s="34" t="str">
        <f aca="false">IFERROR(INDEX('Suivi dossiers'!$Q$5:$Q$103,MATCH(IFERROR(SMALL(IF('Suivi dossiers'!$I$5:$I$103&lt;&gt;"",'Suivi dossiers'!$I$5:$I$103),49),""),'Suivi dossiers'!$I$5:$I$103,0)),"")</f>
        <v/>
      </c>
    </row>
    <row r="54" customFormat="false" ht="27.75" hidden="false" customHeight="true" outlineLevel="0" collapsed="false">
      <c r="A54" s="33" t="str">
        <f aca="false">IFERROR(SMALL(IF('Suivi dossiers'!$K$5:$K$103&lt;&gt;"",'Suivi dossiers'!$K$5:$K$103),50),"")</f>
        <v/>
      </c>
      <c r="B54" s="34" t="str">
        <f aca="false">IFERROR(INDEX('Suivi dossiers'!$B$5:$B$103,MATCH(IFERROR(SMALL(IF('Suivi dossiers'!$I$5:$I$103&lt;&gt;"",'Suivi dossiers'!$I$5:$I$103),50),""),'Suivi dossiers'!$I$5:$I$103,0))&amp;" "&amp;INDEX('Suivi dossiers'!$C$5:$C$103,MATCH(IFERROR(SMALL(IF('Suivi dossiers'!$I$5:$I$103&lt;&gt;"",'Suivi dossiers'!$I$5:$I$103),50),""),'Suivi dossiers'!$I$5:$I$103,0)),"")</f>
        <v> </v>
      </c>
      <c r="C54" s="34" t="n">
        <f aca="false">IFERROR(INDEX('Suivi dossiers'!$D$5:$D$103,MATCH(IFERROR(SMALL(IF('Suivi dossiers'!$I$5:$I$103&lt;&gt;"",'Suivi dossiers'!$I$5:$I$103),50),""),'Suivi dossiers'!$I$5:$I$103,0)),"")</f>
        <v>0</v>
      </c>
      <c r="D54" s="34" t="n">
        <f aca="false">IFERROR(INDEX('Suivi dossiers'!$F$5:$F$103,MATCH(IFERROR(SMALL(IF('Suivi dossiers'!$I$5:$I$103&lt;&gt;"",'Suivi dossiers'!$I$5:$I$103),50),""),'Suivi dossiers'!$I$5:$I$103,0)),"")</f>
        <v>0</v>
      </c>
      <c r="E54" s="35" t="n">
        <f aca="false">IFERROR(INDEX('Suivi dossiers'!$H$5:$H$103,MATCH(IFERROR(SMALL(IF('Suivi dossiers'!$I$5:$I$103&lt;&gt;"",'Suivi dossiers'!$I$5:$I$103),50),""),'Suivi dossiers'!$I$5:$I$103,0)),"")</f>
        <v>0</v>
      </c>
      <c r="F54" s="30" t="str">
        <f aca="false">IFERROR(SMALL(IF('Suivi dossiers'!$I$5:$I$103&lt;&gt;"",'Suivi dossiers'!$I$5:$I$103),50),"")</f>
        <v/>
      </c>
      <c r="G54" s="34" t="str">
        <f aca="false">IFERROR(INDEX('Suivi dossiers'!$Q$5:$Q$103,MATCH(IFERROR(SMALL(IF('Suivi dossiers'!$I$5:$I$103&lt;&gt;"",'Suivi dossiers'!$I$5:$I$103),50),""),'Suivi dossiers'!$I$5:$I$103,0)),"")</f>
        <v/>
      </c>
    </row>
    <row r="55" customFormat="false" ht="27.75" hidden="false" customHeight="true" outlineLevel="0" collapsed="false">
      <c r="A55" s="33" t="str">
        <f aca="false">IFERROR(SMALL(IF('Suivi dossiers'!$K$5:$K$103&lt;&gt;"",'Suivi dossiers'!$K$5:$K$103),51),"")</f>
        <v/>
      </c>
      <c r="B55" s="34" t="str">
        <f aca="false">IFERROR(INDEX('Suivi dossiers'!$B$5:$B$103,MATCH(IFERROR(SMALL(IF('Suivi dossiers'!$I$5:$I$103&lt;&gt;"",'Suivi dossiers'!$I$5:$I$103),51),""),'Suivi dossiers'!$I$5:$I$103,0))&amp;" "&amp;INDEX('Suivi dossiers'!$C$5:$C$103,MATCH(IFERROR(SMALL(IF('Suivi dossiers'!$I$5:$I$103&lt;&gt;"",'Suivi dossiers'!$I$5:$I$103),51),""),'Suivi dossiers'!$I$5:$I$103,0)),"")</f>
        <v> </v>
      </c>
      <c r="C55" s="34" t="n">
        <f aca="false">IFERROR(INDEX('Suivi dossiers'!$D$5:$D$103,MATCH(IFERROR(SMALL(IF('Suivi dossiers'!$I$5:$I$103&lt;&gt;"",'Suivi dossiers'!$I$5:$I$103),51),""),'Suivi dossiers'!$I$5:$I$103,0)),"")</f>
        <v>0</v>
      </c>
      <c r="D55" s="34" t="n">
        <f aca="false">IFERROR(INDEX('Suivi dossiers'!$F$5:$F$103,MATCH(IFERROR(SMALL(IF('Suivi dossiers'!$I$5:$I$103&lt;&gt;"",'Suivi dossiers'!$I$5:$I$103),51),""),'Suivi dossiers'!$I$5:$I$103,0)),"")</f>
        <v>0</v>
      </c>
      <c r="E55" s="35" t="n">
        <f aca="false">IFERROR(INDEX('Suivi dossiers'!$H$5:$H$103,MATCH(IFERROR(SMALL(IF('Suivi dossiers'!$I$5:$I$103&lt;&gt;"",'Suivi dossiers'!$I$5:$I$103),51),""),'Suivi dossiers'!$I$5:$I$103,0)),"")</f>
        <v>0</v>
      </c>
      <c r="F55" s="30" t="str">
        <f aca="false">IFERROR(SMALL(IF('Suivi dossiers'!$I$5:$I$103&lt;&gt;"",'Suivi dossiers'!$I$5:$I$103),51),"")</f>
        <v/>
      </c>
      <c r="G55" s="34" t="str">
        <f aca="false">IFERROR(INDEX('Suivi dossiers'!$Q$5:$Q$103,MATCH(IFERROR(SMALL(IF('Suivi dossiers'!$I$5:$I$103&lt;&gt;"",'Suivi dossiers'!$I$5:$I$103),51),""),'Suivi dossiers'!$I$5:$I$103,0)),"")</f>
        <v/>
      </c>
    </row>
    <row r="56" customFormat="false" ht="27.75" hidden="false" customHeight="true" outlineLevel="0" collapsed="false">
      <c r="A56" s="33" t="str">
        <f aca="false">IFERROR(SMALL(IF('Suivi dossiers'!$K$5:$K$103&lt;&gt;"",'Suivi dossiers'!$K$5:$K$103),52),"")</f>
        <v/>
      </c>
      <c r="B56" s="34" t="str">
        <f aca="false">IFERROR(INDEX('Suivi dossiers'!$B$5:$B$103,MATCH(IFERROR(SMALL(IF('Suivi dossiers'!$I$5:$I$103&lt;&gt;"",'Suivi dossiers'!$I$5:$I$103),52),""),'Suivi dossiers'!$I$5:$I$103,0))&amp;" "&amp;INDEX('Suivi dossiers'!$C$5:$C$103,MATCH(IFERROR(SMALL(IF('Suivi dossiers'!$I$5:$I$103&lt;&gt;"",'Suivi dossiers'!$I$5:$I$103),52),""),'Suivi dossiers'!$I$5:$I$103,0)),"")</f>
        <v> </v>
      </c>
      <c r="C56" s="34" t="n">
        <f aca="false">IFERROR(INDEX('Suivi dossiers'!$D$5:$D$103,MATCH(IFERROR(SMALL(IF('Suivi dossiers'!$I$5:$I$103&lt;&gt;"",'Suivi dossiers'!$I$5:$I$103),52),""),'Suivi dossiers'!$I$5:$I$103,0)),"")</f>
        <v>0</v>
      </c>
      <c r="D56" s="34" t="n">
        <f aca="false">IFERROR(INDEX('Suivi dossiers'!$F$5:$F$103,MATCH(IFERROR(SMALL(IF('Suivi dossiers'!$I$5:$I$103&lt;&gt;"",'Suivi dossiers'!$I$5:$I$103),52),""),'Suivi dossiers'!$I$5:$I$103,0)),"")</f>
        <v>0</v>
      </c>
      <c r="E56" s="35" t="n">
        <f aca="false">IFERROR(INDEX('Suivi dossiers'!$H$5:$H$103,MATCH(IFERROR(SMALL(IF('Suivi dossiers'!$I$5:$I$103&lt;&gt;"",'Suivi dossiers'!$I$5:$I$103),52),""),'Suivi dossiers'!$I$5:$I$103,0)),"")</f>
        <v>0</v>
      </c>
      <c r="F56" s="30" t="str">
        <f aca="false">IFERROR(SMALL(IF('Suivi dossiers'!$I$5:$I$103&lt;&gt;"",'Suivi dossiers'!$I$5:$I$103),52),"")</f>
        <v/>
      </c>
      <c r="G56" s="34" t="str">
        <f aca="false">IFERROR(INDEX('Suivi dossiers'!$Q$5:$Q$103,MATCH(IFERROR(SMALL(IF('Suivi dossiers'!$I$5:$I$103&lt;&gt;"",'Suivi dossiers'!$I$5:$I$103),52),""),'Suivi dossiers'!$I$5:$I$103,0)),"")</f>
        <v/>
      </c>
    </row>
    <row r="57" customFormat="false" ht="27.75" hidden="false" customHeight="true" outlineLevel="0" collapsed="false">
      <c r="A57" s="33" t="str">
        <f aca="false">IFERROR(SMALL(IF('Suivi dossiers'!$K$5:$K$103&lt;&gt;"",'Suivi dossiers'!$K$5:$K$103),53),"")</f>
        <v/>
      </c>
      <c r="B57" s="34" t="str">
        <f aca="false">IFERROR(INDEX('Suivi dossiers'!$B$5:$B$103,MATCH(IFERROR(SMALL(IF('Suivi dossiers'!$I$5:$I$103&lt;&gt;"",'Suivi dossiers'!$I$5:$I$103),53),""),'Suivi dossiers'!$I$5:$I$103,0))&amp;" "&amp;INDEX('Suivi dossiers'!$C$5:$C$103,MATCH(IFERROR(SMALL(IF('Suivi dossiers'!$I$5:$I$103&lt;&gt;"",'Suivi dossiers'!$I$5:$I$103),53),""),'Suivi dossiers'!$I$5:$I$103,0)),"")</f>
        <v> </v>
      </c>
      <c r="C57" s="34" t="n">
        <f aca="false">IFERROR(INDEX('Suivi dossiers'!$D$5:$D$103,MATCH(IFERROR(SMALL(IF('Suivi dossiers'!$I$5:$I$103&lt;&gt;"",'Suivi dossiers'!$I$5:$I$103),53),""),'Suivi dossiers'!$I$5:$I$103,0)),"")</f>
        <v>0</v>
      </c>
      <c r="D57" s="34" t="n">
        <f aca="false">IFERROR(INDEX('Suivi dossiers'!$F$5:$F$103,MATCH(IFERROR(SMALL(IF('Suivi dossiers'!$I$5:$I$103&lt;&gt;"",'Suivi dossiers'!$I$5:$I$103),53),""),'Suivi dossiers'!$I$5:$I$103,0)),"")</f>
        <v>0</v>
      </c>
      <c r="E57" s="35" t="n">
        <f aca="false">IFERROR(INDEX('Suivi dossiers'!$H$5:$H$103,MATCH(IFERROR(SMALL(IF('Suivi dossiers'!$I$5:$I$103&lt;&gt;"",'Suivi dossiers'!$I$5:$I$103),53),""),'Suivi dossiers'!$I$5:$I$103,0)),"")</f>
        <v>0</v>
      </c>
      <c r="F57" s="30" t="str">
        <f aca="false">IFERROR(SMALL(IF('Suivi dossiers'!$I$5:$I$103&lt;&gt;"",'Suivi dossiers'!$I$5:$I$103),53),"")</f>
        <v/>
      </c>
      <c r="G57" s="34" t="str">
        <f aca="false">IFERROR(INDEX('Suivi dossiers'!$Q$5:$Q$103,MATCH(IFERROR(SMALL(IF('Suivi dossiers'!$I$5:$I$103&lt;&gt;"",'Suivi dossiers'!$I$5:$I$103),53),""),'Suivi dossiers'!$I$5:$I$103,0)),"")</f>
        <v/>
      </c>
    </row>
    <row r="58" customFormat="false" ht="27.75" hidden="false" customHeight="true" outlineLevel="0" collapsed="false">
      <c r="A58" s="33" t="str">
        <f aca="false">IFERROR(SMALL(IF('Suivi dossiers'!$K$5:$K$103&lt;&gt;"",'Suivi dossiers'!$K$5:$K$103),54),"")</f>
        <v/>
      </c>
      <c r="B58" s="34" t="str">
        <f aca="false">IFERROR(INDEX('Suivi dossiers'!$B$5:$B$103,MATCH(IFERROR(SMALL(IF('Suivi dossiers'!$I$5:$I$103&lt;&gt;"",'Suivi dossiers'!$I$5:$I$103),54),""),'Suivi dossiers'!$I$5:$I$103,0))&amp;" "&amp;INDEX('Suivi dossiers'!$C$5:$C$103,MATCH(IFERROR(SMALL(IF('Suivi dossiers'!$I$5:$I$103&lt;&gt;"",'Suivi dossiers'!$I$5:$I$103),54),""),'Suivi dossiers'!$I$5:$I$103,0)),"")</f>
        <v> </v>
      </c>
      <c r="C58" s="34" t="n">
        <f aca="false">IFERROR(INDEX('Suivi dossiers'!$D$5:$D$103,MATCH(IFERROR(SMALL(IF('Suivi dossiers'!$I$5:$I$103&lt;&gt;"",'Suivi dossiers'!$I$5:$I$103),54),""),'Suivi dossiers'!$I$5:$I$103,0)),"")</f>
        <v>0</v>
      </c>
      <c r="D58" s="34" t="n">
        <f aca="false">IFERROR(INDEX('Suivi dossiers'!$F$5:$F$103,MATCH(IFERROR(SMALL(IF('Suivi dossiers'!$I$5:$I$103&lt;&gt;"",'Suivi dossiers'!$I$5:$I$103),54),""),'Suivi dossiers'!$I$5:$I$103,0)),"")</f>
        <v>0</v>
      </c>
      <c r="E58" s="35" t="n">
        <f aca="false">IFERROR(INDEX('Suivi dossiers'!$H$5:$H$103,MATCH(IFERROR(SMALL(IF('Suivi dossiers'!$I$5:$I$103&lt;&gt;"",'Suivi dossiers'!$I$5:$I$103),54),""),'Suivi dossiers'!$I$5:$I$103,0)),"")</f>
        <v>0</v>
      </c>
      <c r="F58" s="30" t="str">
        <f aca="false">IFERROR(SMALL(IF('Suivi dossiers'!$I$5:$I$103&lt;&gt;"",'Suivi dossiers'!$I$5:$I$103),54),"")</f>
        <v/>
      </c>
      <c r="G58" s="34" t="str">
        <f aca="false">IFERROR(INDEX('Suivi dossiers'!$Q$5:$Q$103,MATCH(IFERROR(SMALL(IF('Suivi dossiers'!$I$5:$I$103&lt;&gt;"",'Suivi dossiers'!$I$5:$I$103),54),""),'Suivi dossiers'!$I$5:$I$103,0)),"")</f>
        <v/>
      </c>
    </row>
    <row r="59" customFormat="false" ht="27.75" hidden="false" customHeight="true" outlineLevel="0" collapsed="false">
      <c r="A59" s="33" t="str">
        <f aca="false">IFERROR(SMALL(IF('Suivi dossiers'!$K$5:$K$103&lt;&gt;"",'Suivi dossiers'!$K$5:$K$103),55),"")</f>
        <v/>
      </c>
      <c r="B59" s="34" t="str">
        <f aca="false">IFERROR(INDEX('Suivi dossiers'!$B$5:$B$103,MATCH(IFERROR(SMALL(IF('Suivi dossiers'!$I$5:$I$103&lt;&gt;"",'Suivi dossiers'!$I$5:$I$103),55),""),'Suivi dossiers'!$I$5:$I$103,0))&amp;" "&amp;INDEX('Suivi dossiers'!$C$5:$C$103,MATCH(IFERROR(SMALL(IF('Suivi dossiers'!$I$5:$I$103&lt;&gt;"",'Suivi dossiers'!$I$5:$I$103),55),""),'Suivi dossiers'!$I$5:$I$103,0)),"")</f>
        <v> </v>
      </c>
      <c r="C59" s="34" t="n">
        <f aca="false">IFERROR(INDEX('Suivi dossiers'!$D$5:$D$103,MATCH(IFERROR(SMALL(IF('Suivi dossiers'!$I$5:$I$103&lt;&gt;"",'Suivi dossiers'!$I$5:$I$103),55),""),'Suivi dossiers'!$I$5:$I$103,0)),"")</f>
        <v>0</v>
      </c>
      <c r="D59" s="34" t="n">
        <f aca="false">IFERROR(INDEX('Suivi dossiers'!$F$5:$F$103,MATCH(IFERROR(SMALL(IF('Suivi dossiers'!$I$5:$I$103&lt;&gt;"",'Suivi dossiers'!$I$5:$I$103),55),""),'Suivi dossiers'!$I$5:$I$103,0)),"")</f>
        <v>0</v>
      </c>
      <c r="E59" s="35" t="n">
        <f aca="false">IFERROR(INDEX('Suivi dossiers'!$H$5:$H$103,MATCH(IFERROR(SMALL(IF('Suivi dossiers'!$I$5:$I$103&lt;&gt;"",'Suivi dossiers'!$I$5:$I$103),55),""),'Suivi dossiers'!$I$5:$I$103,0)),"")</f>
        <v>0</v>
      </c>
      <c r="F59" s="30" t="str">
        <f aca="false">IFERROR(SMALL(IF('Suivi dossiers'!$I$5:$I$103&lt;&gt;"",'Suivi dossiers'!$I$5:$I$103),55),"")</f>
        <v/>
      </c>
      <c r="G59" s="34" t="str">
        <f aca="false">IFERROR(INDEX('Suivi dossiers'!$Q$5:$Q$103,MATCH(IFERROR(SMALL(IF('Suivi dossiers'!$I$5:$I$103&lt;&gt;"",'Suivi dossiers'!$I$5:$I$103),55),""),'Suivi dossiers'!$I$5:$I$103,0)),"")</f>
        <v/>
      </c>
    </row>
  </sheetData>
  <mergeCells count="2">
    <mergeCell ref="A1:G1"/>
    <mergeCell ref="A2:G2"/>
  </mergeCells>
  <conditionalFormatting sqref="A5:A60">
    <cfRule type="colorScale" priority="2">
      <colorScale>
        <cfvo type="num" val="1"/>
        <cfvo type="num" val="3"/>
        <cfvo type="num" val="5"/>
        <color rgb="FF9B1C1C"/>
        <color rgb="FFF59F00"/>
        <color rgb="FF51CF66"/>
      </colorScale>
    </cfRule>
  </conditionalFormatting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</cols>
  <sheetData>
    <row r="1" customFormat="false" ht="17.35" hidden="false" customHeight="false" outlineLevel="0" collapsed="false">
      <c r="A1" s="36" t="s">
        <v>106</v>
      </c>
    </row>
    <row r="2" customFormat="false" ht="15" hidden="false" customHeight="false" outlineLevel="0" collapsed="false">
      <c r="A2" s="37" t="s">
        <v>63</v>
      </c>
    </row>
    <row r="3" customFormat="false" ht="15" hidden="false" customHeight="false" outlineLevel="0" collapsed="false">
      <c r="A3" s="37" t="s">
        <v>107</v>
      </c>
    </row>
    <row r="4" customFormat="false" ht="15" hidden="false" customHeight="false" outlineLevel="0" collapsed="false">
      <c r="A4" s="37" t="s">
        <v>108</v>
      </c>
    </row>
    <row r="5" customFormat="false" ht="15" hidden="false" customHeight="false" outlineLevel="0" collapsed="false">
      <c r="A5" s="37" t="s">
        <v>109</v>
      </c>
    </row>
    <row r="6" customFormat="false" ht="15" hidden="false" customHeight="false" outlineLevel="0" collapsed="false">
      <c r="A6" s="37" t="s">
        <v>110</v>
      </c>
    </row>
    <row r="7" customFormat="false" ht="15" hidden="false" customHeight="false" outlineLevel="0" collapsed="false">
      <c r="A7" s="37" t="s">
        <v>111</v>
      </c>
    </row>
    <row r="8" customFormat="false" ht="15" hidden="false" customHeight="false" outlineLevel="0" collapsed="false">
      <c r="A8" s="37" t="s">
        <v>112</v>
      </c>
    </row>
    <row r="9" customFormat="false" ht="15" hidden="false" customHeight="false" outlineLevel="0" collapsed="false">
      <c r="A9" s="37" t="s">
        <v>113</v>
      </c>
    </row>
    <row r="10" customFormat="false" ht="15" hidden="false" customHeight="false" outlineLevel="0" collapsed="false">
      <c r="A10" s="37" t="s">
        <v>72</v>
      </c>
    </row>
    <row r="11" customFormat="false" ht="15" hidden="false" customHeight="false" outlineLevel="0" collapsed="false">
      <c r="A11" s="37" t="s">
        <v>114</v>
      </c>
    </row>
    <row r="12" customFormat="false" ht="15" hidden="false" customHeight="false" outlineLevel="0" collapsed="false">
      <c r="A12" s="37" t="s">
        <v>115</v>
      </c>
    </row>
    <row r="13" customFormat="false" ht="15" hidden="false" customHeight="false" outlineLevel="0" collapsed="false">
      <c r="A13" s="37" t="s">
        <v>116</v>
      </c>
    </row>
    <row r="14" customFormat="false" ht="15" hidden="false" customHeight="false" outlineLevel="0" collapsed="false">
      <c r="A14" s="37" t="s">
        <v>117</v>
      </c>
    </row>
    <row r="15" customFormat="false" ht="15" hidden="false" customHeight="false" outlineLevel="0" collapsed="false">
      <c r="A15" s="37" t="s">
        <v>118</v>
      </c>
    </row>
    <row r="16" customFormat="false" ht="15" hidden="false" customHeight="false" outlineLevel="0" collapsed="false">
      <c r="A16" s="37" t="s">
        <v>119</v>
      </c>
    </row>
    <row r="17" customFormat="false" ht="15" hidden="false" customHeight="false" outlineLevel="0" collapsed="false">
      <c r="A17" s="37" t="s">
        <v>120</v>
      </c>
    </row>
    <row r="18" customFormat="false" ht="15" hidden="false" customHeight="false" outlineLevel="0" collapsed="false">
      <c r="A18" s="37" t="s">
        <v>121</v>
      </c>
    </row>
    <row r="19" customFormat="false" ht="15" hidden="false" customHeight="false" outlineLevel="0" collapsed="false">
      <c r="A19" s="37" t="s">
        <v>122</v>
      </c>
    </row>
    <row r="20" customFormat="false" ht="15" hidden="false" customHeight="false" outlineLevel="0" collapsed="false">
      <c r="A20" s="37" t="s">
        <v>123</v>
      </c>
    </row>
    <row r="21" customFormat="false" ht="15" hidden="false" customHeight="false" outlineLevel="0" collapsed="false">
      <c r="A21" s="37" t="s">
        <v>83</v>
      </c>
    </row>
    <row r="22" customFormat="false" ht="15" hidden="false" customHeight="false" outlineLevel="0" collapsed="false">
      <c r="A22" s="37" t="s">
        <v>124</v>
      </c>
    </row>
    <row r="23" customFormat="false" ht="15" hidden="false" customHeight="false" outlineLevel="0" collapsed="false">
      <c r="A23" s="37" t="s">
        <v>125</v>
      </c>
    </row>
    <row r="24" customFormat="false" ht="15" hidden="false" customHeight="false" outlineLevel="0" collapsed="false">
      <c r="A24" s="37" t="s">
        <v>126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2026-05-18T02:55:34Z</dcterms:created>
  <dc:creator>openpyxl</dc:creator>
  <dc:description/>
  <dc:language>en-US</dc:language>
  <cp:lastModifiedBy/>
  <dcterms:modified xsi:type="dcterms:W3CDTF">2026-05-18T02:55:36Z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